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fa44d90bc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Összesítő" sheetId="1" r:id="Rac2096067fbb4a2f"/>
    <x:sheet xmlns:r="http://schemas.openxmlformats.org/officeDocument/2006/relationships" name="Növényjegyzék" sheetId="2" r:id="Raaaa138fedfd42d3"/>
    <x:sheet xmlns:r="http://schemas.openxmlformats.org/officeDocument/2006/relationships" name="Kivitelezési keret" sheetId="3" r:id="R64a44bb4816e4a33"/>
    <x:sheet xmlns:r="http://schemas.openxmlformats.org/officeDocument/2006/relationships" name="Egységárak" sheetId="4" r:id="R7863ad62f5ec461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;(#,##0);&quot;–&quot;"/>
    <x:numFmt numFmtId="201" formatCode="#,##0.00"/>
    <x:numFmt numFmtId="202" formatCode="0.00"/>
    <x:numFmt numFmtId="203" formatCode="0%"/>
    <x:numFmt numFmtId="204" formatCode="yyyy-mm-dd"/>
  </x:numFmts>
  <x:fonts count="8">
    <x:font>
      <x:sz val="11"/>
      <x:name val="Carlito"/>
    </x:font>
    <x:font>
      <x:sz val="10"/>
      <x:color rgb="FF20372F"/>
      <x:name val="Arial"/>
    </x:font>
    <x:font>
      <x:b/>
      <x:sz val="16"/>
      <x:color rgb="FF20372F"/>
      <x:name val="Arial"/>
    </x:font>
    <x:font>
      <x:i/>
      <x:sz val="10"/>
      <x:color rgb="FF63746C"/>
      <x:name val="Arial"/>
    </x:font>
    <x:font>
      <x:b/>
      <x:sz val="10"/>
      <x:color rgb="FFFFFFFF"/>
      <x:name val="Arial"/>
    </x:font>
    <x:font>
      <x:b/>
      <x:sz val="10"/>
      <x:color rgb="FF20372F"/>
      <x:name val="Arial"/>
    </x:font>
    <x:font>
      <x:sz val="10"/>
      <x:color rgb="FF1557AD"/>
      <x:name val="Arial"/>
    </x:font>
    <x:font>
      <x:sz val="10"/>
      <x:color rgb="FF355D4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72F"/>
      </x:patternFill>
    </x:fill>
    <x:fill>
      <x:patternFill patternType="solid">
        <x:fgColor rgb="FFEAF0E9"/>
      </x:patternFill>
    </x:fill>
    <x:fill>
      <x:patternFill patternType="solid">
        <x:fgColor rgb="FFFFF3CD"/>
      </x:patternFill>
    </x:fill>
  </x:fills>
  <x:borders count="3">
    <x:border/>
    <x:border>
      <x:top style="thin">
        <x:color rgb="FF355D49"/>
      </x:top>
    </x:border>
    <x:border>
      <x:top style="medium">
        <x:color rgb="FF355D49"/>
      </x:top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vertical="center"/>
    </x:xf>
    <x:xf numFmtId="200" fontId="5" fillId="3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6" fillId="0" borderId="2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vertical="center"/>
    </x:xf>
    <x:xf numFmtId="200" fontId="6" fillId="0" borderId="2" xfId="0" applyNumberFormat="1" applyFont="1" applyFill="1" applyBorder="1" applyAlignment="1">
      <x:alignment vertical="center"/>
    </x:xf>
    <x:xf numFmtId="200" fontId="7" fillId="0" borderId="2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3" fontId="6" fillId="0" borderId="0" xfId="0" applyNumberFormat="1" applyFont="1" applyFill="1" applyBorder="1" applyAlignment="1">
      <x:alignment vertical="center"/>
    </x:xf>
    <x:xf numFmtId="203" fontId="6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 wrapText="1"/>
    </x:xf>
    <x:xf numFmtId="200" fontId="4" fillId="2" borderId="0" xfId="0" applyNumberFormat="1" applyFont="1" applyFill="1" applyBorder="1" applyAlignment="1">
      <x:alignment horizontal="center" vertical="center" wrapText="1"/>
    </x:xf>
    <x:xf numFmtId="0" fontId="6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5D00"/>
      </x:font>
      <x:fill>
        <x:patternFill patternType="solid">
          <x:bgColor rgb="FFFFF3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db34d46d24a48" /><Relationship Type="http://schemas.openxmlformats.org/officeDocument/2006/relationships/theme" Target="/xl/theme/theme1.xml" Id="Rfc172512fa144497" /><Relationship Type="http://schemas.openxmlformats.org/officeDocument/2006/relationships/sharedStrings" Target="/xl/sharedStrings.xml" Id="R193921640007463f" /><Relationship Type="http://schemas.openxmlformats.org/officeDocument/2006/relationships/worksheet" Target="/xl/worksheets/sheet1.xml" Id="Rac2096067fbb4a2f" /><Relationship Type="http://schemas.openxmlformats.org/officeDocument/2006/relationships/worksheet" Target="/xl/worksheets/sheet2.xml" Id="Raaaa138fedfd42d3" /><Relationship Type="http://schemas.openxmlformats.org/officeDocument/2006/relationships/worksheet" Target="/xl/worksheets/sheet3.xml" Id="R64a44bb4816e4a33" /><Relationship Type="http://schemas.openxmlformats.org/officeDocument/2006/relationships/worksheet" Target="/xl/worksheets/sheet4.xml" Id="R7863ad62f5ec461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5D49"/>
  </x:sheetPr>
  <x:sheetViews>
    <x:sheetView showGridLines="0" workbookViewId="0"/>
  </x:sheetViews>
  <x:sheetFormatPr defaultRowHeight="15"/>
  <x:cols>
    <x:col min="1" max="1" width="3" hidden="0" customWidth="1"/>
    <x:col min="2" max="2" width="34" hidden="0" customWidth="1"/>
    <x:col min="3" max="3" width="13" hidden="0" customWidth="1"/>
    <x:col min="4" max="4" width="19" hidden="0" customWidth="1"/>
    <x:col min="5" max="5" width="13" hidden="0" customWidth="1"/>
    <x:col min="6" max="6" width="19" hidden="0" customWidth="1"/>
    <x:col min="7" max="7" width="13" hidden="0" customWidth="1"/>
    <x:col min="8" max="8" width="20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2" customHeight="1">
      <x:c r="A2" s="2"/>
      <x:c r="B2" s="3" t="str">
        <x:v>MK95 teljes telek – kertbüdzsé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4" t="str">
        <x:v>2026. szeptember 26. · Balatonlelle, Mátyás király utca 95.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35" customHeight="1">
      <x:c r="A5" s="2"/>
      <x:c r="B5" s="8" t="str">
        <x:v>Növénybeszerzés</x:v>
      </x:c>
      <x:c r="C5" s="8" t="str">
        <x:v>Összes db</x:v>
      </x:c>
      <x:c r="D5" s="8" t="str">
        <x:v>Anyagár Ft</x:v>
      </x:c>
      <x:c r="E5" s="8" t="str">
        <x:v>Őszi db</x:v>
      </x:c>
      <x:c r="F5" s="8" t="str">
        <x:v>Őszi anyag Ft</x:v>
      </x:c>
      <x:c r="G5" s="8" t="str">
        <x:v>Későbbi db</x:v>
      </x:c>
      <x:c r="H5" s="8" t="str">
        <x:v>Későbbi anyag Ft</x:v>
      </x:c>
      <x:c r="I5" s="2"/>
      <x:c r="J5" s="2"/>
      <x:c r="K5" s="2"/>
      <x:c r="L5" s="2"/>
      <x:c r="M5" s="2"/>
      <x:c r="N5" s="2"/>
      <x:c r="O5" s="2"/>
      <x:c r="P5" s="2"/>
      <x:c r="Q5" s="2"/>
    </x:row>
    <x:row r="6" ht="23" customHeight="1">
      <x:c r="A6" s="2"/>
      <x:c r="B6" s="2" t="str">
        <x:v>A – Virágos balatoni kert</x:v>
      </x:c>
      <x:c r="C6" s="9" t="n">
        <x:f>SUMIFS('Növényjegyzék'!$E$7:$E$37,'Növényjegyzék'!$B$7:$B$37,"A")</x:f>
        <x:v>785</x:v>
      </x:c>
      <x:c r="D6" s="9" t="n">
        <x:f>SUMIFS('Növényjegyzék'!$I$7:$I$37,'Növényjegyzék'!$B$7:$B$37,"A")</x:f>
        <x:v>1981330</x:v>
      </x:c>
      <x:c r="E6" s="9" t="n">
        <x:f>SUMIFS('Növényjegyzék'!$F$7:$F$37,'Növényjegyzék'!$B$7:$B$37,"A")</x:f>
        <x:v>453</x:v>
      </x:c>
      <x:c r="F6" s="9" t="n">
        <x:f>SUMIFS('Növényjegyzék'!$J$7:$J$37,'Növényjegyzék'!$B$7:$B$37,"A")</x:f>
        <x:v>1173820</x:v>
      </x:c>
      <x:c r="G6" s="9" t="n">
        <x:f>SUMIFS('Növényjegyzék'!$G$7:$G$37,'Növényjegyzék'!$B$7:$B$37,"A")</x:f>
        <x:v>332</x:v>
      </x:c>
      <x:c r="H6" s="9" t="n">
        <x:f>SUMIFS('Növényjegyzék'!$K$7:$K$37,'Növényjegyzék'!$B$7:$B$37,"A")</x:f>
        <x:v>807510</x:v>
      </x:c>
      <x:c r="I6" s="2"/>
      <x:c r="J6" s="2"/>
      <x:c r="K6" s="2"/>
      <x:c r="L6" s="2"/>
      <x:c r="M6" s="2"/>
      <x:c r="N6" s="2"/>
      <x:c r="O6" s="2"/>
      <x:c r="P6" s="2"/>
      <x:c r="Q6" s="2"/>
    </x:row>
    <x:row r="7" ht="23" customHeight="1">
      <x:c r="A7" s="2"/>
      <x:c r="B7" s="2" t="str">
        <x:v>B – Világos lombsátor</x:v>
      </x:c>
      <x:c r="C7" s="9" t="n">
        <x:f>SUMIFS('Növényjegyzék'!$E$7:$E$37,'Növényjegyzék'!$B$7:$B$37,"B")</x:f>
        <x:v>641</x:v>
      </x:c>
      <x:c r="D7" s="9" t="n">
        <x:f>SUMIFS('Növényjegyzék'!$I$7:$I$37,'Növényjegyzék'!$B$7:$B$37,"B")</x:f>
        <x:v>1562440</x:v>
      </x:c>
      <x:c r="E7" s="9" t="n">
        <x:f>SUMIFS('Növényjegyzék'!$F$7:$F$37,'Növényjegyzék'!$B$7:$B$37,"B")</x:f>
        <x:v>374</x:v>
      </x:c>
      <x:c r="F7" s="9" t="n">
        <x:f>SUMIFS('Növényjegyzék'!$J$7:$J$37,'Növényjegyzék'!$B$7:$B$37,"B")</x:f>
        <x:v>957060</x:v>
      </x:c>
      <x:c r="G7" s="9" t="n">
        <x:f>SUMIFS('Növényjegyzék'!$G$7:$G$37,'Növényjegyzék'!$B$7:$B$37,"B")</x:f>
        <x:v>267</x:v>
      </x:c>
      <x:c r="H7" s="9" t="n">
        <x:f>SUMIFS('Növényjegyzék'!$K$7:$K$37,'Növényjegyzék'!$B$7:$B$37,"B")</x:f>
        <x:v>605380</x:v>
      </x:c>
      <x:c r="I7" s="2"/>
      <x:c r="J7" s="2"/>
      <x:c r="K7" s="2"/>
      <x:c r="L7" s="2"/>
      <x:c r="M7" s="2"/>
      <x:c r="N7" s="2"/>
      <x:c r="O7" s="2"/>
      <x:c r="P7" s="2"/>
      <x:c r="Q7" s="2"/>
    </x:row>
    <x:row r="8" ht="23" customHeight="1">
      <x:c r="A8" s="2"/>
      <x:c r="B8" s="2" t="str">
        <x:v>C – Illatos, ehető kert</x:v>
      </x:c>
      <x:c r="C8" s="9" t="n">
        <x:f>SUMIFS('Növényjegyzék'!$E$7:$E$37,'Növényjegyzék'!$B$7:$B$37,"C")</x:f>
        <x:v>785</x:v>
      </x:c>
      <x:c r="D8" s="9" t="n">
        <x:f>SUMIFS('Növényjegyzék'!$I$7:$I$37,'Növényjegyzék'!$B$7:$B$37,"C")</x:f>
        <x:v>1767850</x:v>
      </x:c>
      <x:c r="E8" s="9" t="n">
        <x:f>SUMIFS('Növényjegyzék'!$F$7:$F$37,'Növényjegyzék'!$B$7:$B$37,"C")</x:f>
        <x:v>453</x:v>
      </x:c>
      <x:c r="F8" s="9" t="n">
        <x:f>SUMIFS('Növényjegyzék'!$J$7:$J$37,'Növényjegyzék'!$B$7:$B$37,"C")</x:f>
        <x:v>1063930</x:v>
      </x:c>
      <x:c r="G8" s="9" t="n">
        <x:f>SUMIFS('Növényjegyzék'!$G$7:$G$37,'Növényjegyzék'!$B$7:$B$37,"C")</x:f>
        <x:v>332</x:v>
      </x:c>
      <x:c r="H8" s="9" t="n">
        <x:f>SUMIFS('Növényjegyzék'!$K$7:$K$37,'Növényjegyzék'!$B$7:$B$37,"C")</x:f>
        <x:v>703920</x:v>
      </x:c>
      <x:c r="I8" s="2"/>
      <x:c r="J8" s="2"/>
      <x:c r="K8" s="2"/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3" customHeight="1">
      <x:c r="A10" s="2"/>
      <x:c r="B10" s="4" t="str">
        <x:v>A, B és C külön választási lehetőség. Az összegek nem adódnak össze.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35" customHeight="1">
      <x:c r="A12" s="2"/>
      <x:c r="B12" s="8" t="str">
        <x:v>Teljes kertkeret</x:v>
      </x:c>
      <x:c r="C12" s="8" t="str">
        <x:v>Növényanyag Ft</x:v>
      </x:c>
      <x:c r="D12" s="8" t="str">
        <x:v>Kivitelezés alsó Ft</x:v>
      </x:c>
      <x:c r="E12" s="8" t="str">
        <x:v>Kivitelezés felső Ft</x:v>
      </x:c>
      <x:c r="F12" s="8" t="str">
        <x:v>Összesen alsó Ft</x:v>
      </x:c>
      <x:c r="G12" s="8" t="str">
        <x:v>Összesen felső Ft</x:v>
      </x:c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3" customHeight="1">
      <x:c r="A13" s="2"/>
      <x:c r="B13" s="2" t="str">
        <x:v>A – Virágos balatoni kert</x:v>
      </x:c>
      <x:c r="C13" s="9" t="n">
        <x:f>D6</x:f>
        <x:v>1981330</x:v>
      </x:c>
      <x:c r="D13" s="9" t="n">
        <x:f>'Kivitelezési keret'!F23</x:f>
        <x:v>2898976</x:v>
      </x:c>
      <x:c r="E13" s="9" t="n">
        <x:f>'Kivitelezési keret'!G23</x:f>
        <x:v>5543761</x:v>
      </x:c>
      <x:c r="F13" s="12" t="n">
        <x:f>ROUND((C13+D13)*(1+'Kivitelezési keret'!D19),0)</x:f>
        <x:v>5612352</x:v>
      </x:c>
      <x:c r="G13" s="12" t="n">
        <x:f>ROUND((C13+E13)*(1+'Kivitelezési keret'!D19),0)</x:f>
        <x:v>8653855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3" customHeight="1">
      <x:c r="A14" s="2"/>
      <x:c r="B14" s="2" t="str">
        <x:v>B – Világos lombsátor</x:v>
      </x:c>
      <x:c r="C14" s="9" t="n">
        <x:f>D7</x:f>
        <x:v>1562440</x:v>
      </x:c>
      <x:c r="D14" s="9" t="n">
        <x:f>'Kivitelezési keret'!F24</x:f>
        <x:v>2842976</x:v>
      </x:c>
      <x:c r="E14" s="9" t="n">
        <x:f>'Kivitelezési keret'!G24</x:f>
        <x:v>5431761</x:v>
      </x:c>
      <x:c r="F14" s="11" t="n">
        <x:f>ROUND((C14+D14)*(1+'Kivitelezési keret'!D19),0)</x:f>
        <x:v>5066228</x:v>
      </x:c>
      <x:c r="G14" s="11" t="n">
        <x:f>ROUND((C14+E14)*(1+'Kivitelezési keret'!D19),0)</x:f>
        <x:v>8043331</x:v>
      </x:c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3" customHeight="1">
      <x:c r="A15" s="2"/>
      <x:c r="B15" s="2" t="str">
        <x:v>C – Illatos, ehető kert</x:v>
      </x:c>
      <x:c r="C15" s="9" t="n">
        <x:f>D8</x:f>
        <x:v>1767850</x:v>
      </x:c>
      <x:c r="D15" s="9" t="n">
        <x:f>'Kivitelezési keret'!F25</x:f>
        <x:v>2898976</x:v>
      </x:c>
      <x:c r="E15" s="9" t="n">
        <x:f>'Kivitelezési keret'!G25</x:f>
        <x:v>5543761</x:v>
      </x:c>
      <x:c r="F15" s="11" t="n">
        <x:f>ROUND((C15+D15)*(1+'Kivitelezési keret'!D19),0)</x:f>
        <x:v>5366850</x:v>
      </x:c>
      <x:c r="G15" s="11" t="n">
        <x:f>ROUND((C15+E15)*(1+'Kivitelezési keret'!D19),0)</x:f>
        <x:v>8408353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3" customHeight="1">
      <x:c r="A17" s="2"/>
      <x:c r="B17" s="2" t="str">
        <x:v>A teljes keret 15% tartalékot tartalmaz. A kivitelezés saját becslés, ajánlat nélkül.</x:v>
      </x:c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3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3" customHeight="1">
      <x:c r="A19" s="2"/>
      <x:c r="B19" s="2" t="str">
        <x:v>Ősszel a védhető hátsó kertbe kerülhetnek növények. A darabszám a modell fázisaiból jön.</x:v>
      </x:c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3" customHeight="1">
      <x:c r="A20" s="2"/>
      <x:c r="B20" s="2" t="str">
        <x:v>Az őszi anyagárhoz az őszi munkák, talajjavítás és öntözés költsége még hozzászámítandó.</x:v>
      </x:c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3" customHeight="1">
      <x:c r="A22" s="2"/>
      <x:c r="B22" s="13" t="str">
        <x:v>A keretből kimarad</x:v>
      </x:c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A23" s="2"/>
      <x:c r="B23" s="2" t="str">
        <x:v>Teljes gyepcsere, új burkolat, kerítés, támfal, nagy földmunka és drénezés.</x:v>
      </x:c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3" customHeight="1">
      <x:c r="A24" s="2"/>
      <x:c r="B24" s="2" t="str">
        <x:v>Kút, ciszterna és vízgépészet. Meglévő fák kivágása vagy átültetése.</x:v>
      </x:c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3" customHeight="1">
      <x:c r="A26" s="2"/>
      <x:c r="B26" s="13" t="str">
        <x:v>Modellterületek</x:v>
      </x:c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3" customHeight="1">
      <x:c r="A27" s="2"/>
      <x:c r="B27" s="2" t="str">
        <x:v>Teljes modelltelek, m²</x:v>
      </x:c>
      <x:c r="C27" s="14" t="n">
        <x:v>1221.15</x:v>
      </x:c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3" customHeight="1">
      <x:c r="A28" s="2"/>
      <x:c r="B28" s="2" t="str">
        <x:v>Növényágyások, m²</x:v>
      </x:c>
      <x:c r="C28" s="14" t="n">
        <x:v>287.99</x:v>
      </x:c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/>
      <x:c r="B29" s="2" t="str">
        <x:v>Őszi ágyások, m²</x:v>
      </x:c>
      <x:c r="C29" s="14" t="n">
        <x:v>163.22</x:v>
      </x:c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A30" s="2"/>
      <x:c r="B30" s="2" t="str">
        <x:v>Megmaradó nyitott talaj, m²</x:v>
      </x:c>
      <x:c r="C30" s="14" t="n">
        <x:v>640.9</x:v>
      </x:c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A32" s="2"/>
      <x:c r="B32" s="2" t="str">
        <x:v>A munkahatár IFC-geometriából származik. Földmérés és tulajdoni telekhatár egyeztetendő.</x:v>
      </x:c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A33" s="2"/>
      <x:c r="B33" s="2" t="str">
        <x:v>A megmaradó nyitott talaj gyepet és útvonalakat tartalmaz. Nem új gyeprendelés.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/>
      <x:c r="B35" s="13" t="str">
        <x:v>Beszerzési megjegyzések</x:v>
      </x:c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3" customHeight="1">
      <x:c r="A36" s="2"/>
      <x:c r="B36" s="2" t="str">
        <x:v>Több árreferenciánál elfogyott vagy kevés a készlet. Teljes tételes ajánlat szükséges.</x:v>
      </x:c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A37" s="2"/>
      <x:c r="B37" s="2" t="str">
        <x:v>A kiszerelések eltérnek. P9 induló növény és nagyobb konténer nem azonos árkategória.</x:v>
      </x:c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/>
      <x:c r="B38" s="2" t="str">
        <x:v>Az árak a kereskedők kijelzett fogyasztói árai. Az igazolt áfatartalom az Egységárak lapon.</x:v>
      </x:c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13" t="str">
        <x:v>Szerkesztés</x:v>
      </x:c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 t="str">
        <x:v>A kék számok módosítható bemenetek. A fekete és zöld értékeket képlet számolja.</x:v>
      </x:c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A42" s="2"/>
      <x:c r="B42" s="2" t="str">
        <x:v>Az árakat az Egységárak, a munkakeretet a Kivitelezési keret lapon lehet átírni.</x:v>
      </x:c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3" customHeight="1">
      <x:c r="A44" s="2"/>
      <x:c r="B44" s="13" t="str">
        <x:v>Opcionális magvetéses gyeptelepítés</x:v>
      </x:c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3" customHeight="1">
      <x:c r="A45" s="2"/>
      <x:c r="B45" s="2" t="str">
        <x:v>Alapból 0 m². A teljes 640,90 m² érzékenységi maximum, mert útvonalakat is tartalmaz.</x:v>
      </x:c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35" customHeight="1">
      <x:c r="A47" s="2"/>
      <x:c r="B47" s="8" t="str">
        <x:v>Koncepció</x:v>
      </x:c>
      <x:c r="C47" s="8" t="str">
        <x:v>Választott m²</x:v>
      </x:c>
      <x:c r="D47" s="8" t="str">
        <x:v>Alsó összes Ft</x:v>
      </x:c>
      <x:c r="E47" s="8" t="str">
        <x:v>Felső összes Ft</x:v>
      </x:c>
      <x:c r="F47" s="8" t="str">
        <x:v>Teljes 641 m² alsó Ft</x:v>
      </x:c>
      <x:c r="G47" s="8" t="str">
        <x:v>Teljes 641 m² felső Ft</x:v>
      </x:c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3" customHeight="1">
      <x:c r="A48" s="2"/>
      <x:c r="B48" s="2" t="str">
        <x:v>A – Virágos balatoni kert</x:v>
      </x:c>
      <x:c r="C48" s="14" t="n">
        <x:f>'Kivitelezési keret'!C37</x:f>
        <x:v>0</x:v>
      </x:c>
      <x:c r="D48" s="9" t="n">
        <x:f>ROUND((C13+D13+'Kivitelezési keret'!F37)*(1+'Kivitelezési keret'!D19),0)</x:f>
        <x:v>5612352</x:v>
      </x:c>
      <x:c r="E48" s="9" t="n">
        <x:f>ROUND((C13+E13+'Kivitelezési keret'!G37)*(1+'Kivitelezési keret'!D19),0)</x:f>
        <x:v>8653855</x:v>
      </x:c>
      <x:c r="F48" s="9" t="n">
        <x:f>ROUND((C13+D13+'Kivitelezési keret'!F38)*(1+'Kivitelezési keret'!D19),0)</x:f>
        <x:v>6791608</x:v>
      </x:c>
      <x:c r="G48" s="9" t="n">
        <x:f>ROUND((C13+E13+'Kivitelezési keret'!G38)*(1+'Kivitelezési keret'!D19),0)</x:f>
        <x:v>10349035</x:v>
      </x:c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3" customHeight="1">
      <x:c r="A49" s="2"/>
      <x:c r="B49" s="2" t="str">
        <x:v>B – Világos lombsátor</x:v>
      </x:c>
      <x:c r="C49" s="14" t="n">
        <x:f>'Kivitelezési keret'!C37</x:f>
        <x:v>0</x:v>
      </x:c>
      <x:c r="D49" s="9" t="n">
        <x:f>ROUND((C14+D14+'Kivitelezési keret'!F37)*(1+'Kivitelezési keret'!D19),0)</x:f>
        <x:v>5066228</x:v>
      </x:c>
      <x:c r="E49" s="9" t="n">
        <x:f>ROUND((C14+E14+'Kivitelezési keret'!G37)*(1+'Kivitelezési keret'!D19),0)</x:f>
        <x:v>8043331</x:v>
      </x:c>
      <x:c r="F49" s="9" t="n">
        <x:f>ROUND((C14+D14+'Kivitelezési keret'!F38)*(1+'Kivitelezési keret'!D19),0)</x:f>
        <x:v>6245484</x:v>
      </x:c>
      <x:c r="G49" s="9" t="n">
        <x:f>ROUND((C14+E14+'Kivitelezési keret'!G38)*(1+'Kivitelezési keret'!D19),0)</x:f>
        <x:v>9738512</x:v>
      </x:c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3" customHeight="1">
      <x:c r="A50" s="2"/>
      <x:c r="B50" s="2" t="str">
        <x:v>C – Illatos, ehető kert</x:v>
      </x:c>
      <x:c r="C50" s="14" t="n">
        <x:f>'Kivitelezési keret'!C37</x:f>
        <x:v>0</x:v>
      </x:c>
      <x:c r="D50" s="9" t="n">
        <x:f>ROUND((C15+D15+'Kivitelezési keret'!F37)*(1+'Kivitelezési keret'!D19),0)</x:f>
        <x:v>5366850</x:v>
      </x:c>
      <x:c r="E50" s="9" t="n">
        <x:f>ROUND((C15+E15+'Kivitelezési keret'!G37)*(1+'Kivitelezési keret'!D19),0)</x:f>
        <x:v>8408353</x:v>
      </x:c>
      <x:c r="F50" s="9" t="n">
        <x:f>ROUND((C15+D15+'Kivitelezési keret'!F38)*(1+'Kivitelezési keret'!D19),0)</x:f>
        <x:v>6546106</x:v>
      </x:c>
      <x:c r="G50" s="9" t="n">
        <x:f>ROUND((C15+E15+'Kivitelezési keret'!G38)*(1+'Kivitelezési keret'!D19),0)</x:f>
        <x:v>10103533</x:v>
      </x:c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3" customHeight="1">
      <x:c r="A52" s="2"/>
      <x:c r="B52" s="2" t="str">
        <x:v>A választott gyepterület a Kivitelezési keret C37 cellájában módosítható.</x:v>
      </x:c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55D49"/>
  </x:sheetPr>
  <x:sheetViews>
    <x:sheetView showGridLines="0" workbookViewId="0">
      <x:pane xSplit="4" ySplit="6" topLeftCell="E7" activePane="bottomRight" state="frozen"/>
    </x:sheetView>
  </x:sheetViews>
  <x:sheetFormatPr defaultRowHeight="15"/>
  <x:cols>
    <x:col min="1" max="1" width="3" hidden="0" customWidth="1"/>
    <x:col min="2" max="2" width="10" hidden="0" customWidth="1"/>
    <x:col min="3" max="3" width="10" hidden="0" customWidth="1"/>
    <x:col min="4" max="4" width="60" hidden="0" customWidth="1"/>
    <x:col min="5" max="5" width="13" hidden="0" customWidth="1"/>
    <x:col min="6" max="6" width="13" hidden="0" customWidth="1"/>
    <x:col min="7" max="7" width="13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2" customHeight="1">
      <x:c r="A2" s="2"/>
      <x:c r="B2" s="3" t="str">
        <x:v>Növényjegyzék és ütemezés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 t="str">
        <x:v>A darabszámok a teljes telek 3D-modelljének növénypontjaival egyeznek.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4" t="str">
        <x:v>Forrás: 260926_blelle_MK95_teljes_004.ifc és a hozzá készült kertkoncepció.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35" customHeight="1">
      <x:c r="A6" s="2"/>
      <x:c r="B6" s="8" t="str">
        <x:v>Koncepció</x:v>
      </x:c>
      <x:c r="C6" s="8" t="str">
        <x:v>Kód</x:v>
      </x:c>
      <x:c r="D6" s="8" t="str">
        <x:v>Növény</x:v>
      </x:c>
      <x:c r="E6" s="8" t="str">
        <x:v>Összes db</x:v>
      </x:c>
      <x:c r="F6" s="8" t="str">
        <x:v>Őszi db</x:v>
      </x:c>
      <x:c r="G6" s="8" t="str">
        <x:v>Későbbi db</x:v>
      </x:c>
      <x:c r="H6" s="8" t="str">
        <x:v>Egységár Ft</x:v>
      </x:c>
      <x:c r="I6" s="8" t="str">
        <x:v>Anyagár Ft</x:v>
      </x:c>
      <x:c r="J6" s="8" t="str">
        <x:v>Őszi anyag Ft</x:v>
      </x:c>
      <x:c r="K6" s="8" t="str">
        <x:v>Későbbi anyag Ft</x:v>
      </x:c>
      <x:c r="L6" s="8" t="str">
        <x:v>Növénycsoport</x:v>
      </x:c>
      <x:c r="M6" s="2"/>
      <x:c r="N6" s="2"/>
      <x:c r="O6" s="2"/>
      <x:c r="P6" s="2"/>
      <x:c r="Q6" s="2"/>
    </x:row>
    <x:row r="7" ht="23" customHeight="1">
      <x:c r="A7" s="2"/>
      <x:c r="B7" s="15" t="str">
        <x:v>A</x:v>
      </x:c>
      <x:c r="C7" s="15" t="str">
        <x:v>P01</x:v>
      </x:c>
      <x:c r="D7" s="15" t="str">
        <x:v>Tövismentes aranylepényfa · Gleditsia Sunburst</x:v>
      </x:c>
      <x:c r="E7" s="20" t="n">
        <x:f>SUM(F7:G7)</x:f>
        <x:v>3</x:v>
      </x:c>
      <x:c r="F7" s="21" t="n">
        <x:v>3</x:v>
      </x:c>
      <x:c r="G7" s="21" t="n">
        <x:v>0</x:v>
      </x:c>
      <x:c r="H7" s="22" t="n">
        <x:f>IF(ISNUMBER('Egységárak'!E7),'Egységárak'!E7,NA())</x:f>
        <x:v>38000</x:v>
      </x:c>
      <x:c r="I7" s="20" t="n">
        <x:f>E7*H7</x:f>
        <x:v>114000</x:v>
      </x:c>
      <x:c r="J7" s="20" t="n">
        <x:f>F7*H7</x:f>
        <x:v>114000</x:v>
      </x:c>
      <x:c r="K7" s="20" t="n">
        <x:f>G7*H7</x:f>
        <x:v>0</x:v>
      </x:c>
      <x:c r="L7" s="15" t="str">
        <x:v>Fa</x:v>
      </x:c>
      <x:c r="M7" s="2"/>
      <x:c r="N7" s="2"/>
      <x:c r="O7" s="2"/>
      <x:c r="P7" s="2"/>
      <x:c r="Q7" s="2"/>
    </x:row>
    <x:row r="8" ht="23" customHeight="1">
      <x:c r="A8" s="2"/>
      <x:c r="B8" s="2" t="str">
        <x:v>A</x:v>
      </x:c>
      <x:c r="C8" s="2" t="str">
        <x:v>P03</x:v>
      </x:c>
      <x:c r="D8" s="2" t="str">
        <x:v>Húsos som · Cornus mas</x:v>
      </x:c>
      <x:c r="E8" s="9" t="n">
        <x:f>SUM(F8:G8)</x:f>
        <x:v>14</x:v>
      </x:c>
      <x:c r="F8" s="23" t="n">
        <x:v>6</x:v>
      </x:c>
      <x:c r="G8" s="23" t="n">
        <x:v>8</x:v>
      </x:c>
      <x:c r="H8" s="24" t="n">
        <x:f>IF(ISNUMBER('Egységárak'!E8),'Egységárak'!E8,NA())</x:f>
        <x:v>6490</x:v>
      </x:c>
      <x:c r="I8" s="9" t="n">
        <x:f>E8*H8</x:f>
        <x:v>90860</x:v>
      </x:c>
      <x:c r="J8" s="9" t="n">
        <x:f>F8*H8</x:f>
        <x:v>38940</x:v>
      </x:c>
      <x:c r="K8" s="9" t="n">
        <x:f>G8*H8</x:f>
        <x:v>51920</x:v>
      </x:c>
      <x:c r="L8" s="2" t="str">
        <x:v>Cserje</x:v>
      </x:c>
      <x:c r="M8" s="2"/>
      <x:c r="N8" s="2"/>
      <x:c r="O8" s="2"/>
      <x:c r="P8" s="2"/>
      <x:c r="Q8" s="2"/>
    </x:row>
    <x:row r="9" ht="23" customHeight="1">
      <x:c r="A9" s="2"/>
      <x:c r="B9" s="2" t="str">
        <x:v>A</x:v>
      </x:c>
      <x:c r="C9" s="2" t="str">
        <x:v>P04</x:v>
      </x:c>
      <x:c r="D9" s="2" t="str">
        <x:v>Bíbor cserszömörce · Cotinus Royal Purple</x:v>
      </x:c>
      <x:c r="E9" s="9" t="n">
        <x:f>SUM(F9:G9)</x:f>
        <x:v>8</x:v>
      </x:c>
      <x:c r="F9" s="23" t="n">
        <x:v>7</x:v>
      </x:c>
      <x:c r="G9" s="23" t="n">
        <x:v>1</x:v>
      </x:c>
      <x:c r="H9" s="24" t="n">
        <x:f>IF(ISNUMBER('Egységárak'!E9),'Egységárak'!E9,NA())</x:f>
        <x:v>8990</x:v>
      </x:c>
      <x:c r="I9" s="9" t="n">
        <x:f>E9*H9</x:f>
        <x:v>71920</x:v>
      </x:c>
      <x:c r="J9" s="9" t="n">
        <x:f>F9*H9</x:f>
        <x:v>62930</x:v>
      </x:c>
      <x:c r="K9" s="9" t="n">
        <x:f>G9*H9</x:f>
        <x:v>8990</x:v>
      </x:c>
      <x:c r="L9" s="2" t="str">
        <x:v>Cserje</x:v>
      </x:c>
      <x:c r="M9" s="2"/>
      <x:c r="N9" s="2"/>
      <x:c r="O9" s="2"/>
      <x:c r="P9" s="2"/>
      <x:c r="Q9" s="2"/>
    </x:row>
    <x:row r="10" ht="23" customHeight="1">
      <x:c r="A10" s="2"/>
      <x:c r="B10" s="2" t="str">
        <x:v>A</x:v>
      </x:c>
      <x:c r="C10" s="2" t="str">
        <x:v>P05</x:v>
      </x:c>
      <x:c r="D10" s="2" t="str">
        <x:v>Ostorménbangita · Viburnum lantana</x:v>
      </x:c>
      <x:c r="E10" s="9" t="n">
        <x:f>SUM(F10:G10)</x:f>
        <x:v>18</x:v>
      </x:c>
      <x:c r="F10" s="23" t="n">
        <x:v>9</x:v>
      </x:c>
      <x:c r="G10" s="23" t="n">
        <x:v>9</x:v>
      </x:c>
      <x:c r="H10" s="24" t="n">
        <x:f>IF(ISNUMBER('Egységárak'!E10),'Egységárak'!E10,NA())</x:f>
        <x:v>6990</x:v>
      </x:c>
      <x:c r="I10" s="9" t="n">
        <x:f>E10*H10</x:f>
        <x:v>125820</x:v>
      </x:c>
      <x:c r="J10" s="9" t="n">
        <x:f>F10*H10</x:f>
        <x:v>62910</x:v>
      </x:c>
      <x:c r="K10" s="9" t="n">
        <x:f>G10*H10</x:f>
        <x:v>62910</x:v>
      </x:c>
      <x:c r="L10" s="2" t="str">
        <x:v>Cserje</x:v>
      </x:c>
      <x:c r="M10" s="2"/>
      <x:c r="N10" s="2"/>
      <x:c r="O10" s="2"/>
      <x:c r="P10" s="2"/>
      <x:c r="Q10" s="2"/>
    </x:row>
    <x:row r="11" ht="23" customHeight="1">
      <x:c r="A11" s="2"/>
      <x:c r="B11" s="2" t="str">
        <x:v>A</x:v>
      </x:c>
      <x:c r="C11" s="2" t="str">
        <x:v>P06</x:v>
      </x:c>
      <x:c r="D11" s="2" t="str">
        <x:v>Ligeti zsálya · Salvia Caradonna</x:v>
      </x:c>
      <x:c r="E11" s="9" t="n">
        <x:f>SUM(F11:G11)</x:f>
        <x:v>131</x:v>
      </x:c>
      <x:c r="F11" s="23" t="n">
        <x:v>76</x:v>
      </x:c>
      <x:c r="G11" s="23" t="n">
        <x:v>55</x:v>
      </x:c>
      <x:c r="H11" s="24" t="n">
        <x:f>IF(ISNUMBER('Egységárak'!E11),'Egységárak'!E11,NA())</x:f>
        <x:v>1790</x:v>
      </x:c>
      <x:c r="I11" s="9" t="n">
        <x:f>E11*H11</x:f>
        <x:v>234490</x:v>
      </x:c>
      <x:c r="J11" s="9" t="n">
        <x:f>F11*H11</x:f>
        <x:v>136040</x:v>
      </x:c>
      <x:c r="K11" s="9" t="n">
        <x:f>G11*H11</x:f>
        <x:v>98450</x:v>
      </x:c>
      <x:c r="L11" s="2" t="str">
        <x:v>Évelő</x:v>
      </x:c>
      <x:c r="M11" s="2"/>
      <x:c r="N11" s="2"/>
      <x:c r="O11" s="2"/>
      <x:c r="P11" s="2"/>
      <x:c r="Q11" s="2"/>
    </x:row>
    <x:row r="12" ht="23" customHeight="1">
      <x:c r="A12" s="2"/>
      <x:c r="B12" s="2" t="str">
        <x:v>A</x:v>
      </x:c>
      <x:c r="C12" s="2" t="str">
        <x:v>P07</x:v>
      </x:c>
      <x:c r="D12" s="2" t="str">
        <x:v>Kerti macskamenta · Nepeta Walkers Low</x:v>
      </x:c>
      <x:c r="E12" s="9" t="n">
        <x:f>SUM(F12:G12)</x:f>
        <x:v>122</x:v>
      </x:c>
      <x:c r="F12" s="23" t="n">
        <x:v>71</x:v>
      </x:c>
      <x:c r="G12" s="23" t="n">
        <x:v>51</x:v>
      </x:c>
      <x:c r="H12" s="24" t="n">
        <x:f>IF(ISNUMBER('Egységárak'!E12),'Egységárak'!E12,NA())</x:f>
        <x:v>2980</x:v>
      </x:c>
      <x:c r="I12" s="9" t="n">
        <x:f>E12*H12</x:f>
        <x:v>363560</x:v>
      </x:c>
      <x:c r="J12" s="9" t="n">
        <x:f>F12*H12</x:f>
        <x:v>211580</x:v>
      </x:c>
      <x:c r="K12" s="9" t="n">
        <x:f>G12*H12</x:f>
        <x:v>151980</x:v>
      </x:c>
      <x:c r="L12" s="2" t="str">
        <x:v>Évelő</x:v>
      </x:c>
      <x:c r="M12" s="2"/>
      <x:c r="N12" s="2"/>
      <x:c r="O12" s="2"/>
      <x:c r="P12" s="2"/>
      <x:c r="Q12" s="2"/>
    </x:row>
    <x:row r="13" ht="23" customHeight="1">
      <x:c r="A13" s="2"/>
      <x:c r="B13" s="2" t="str">
        <x:v>A</x:v>
      </x:c>
      <x:c r="C13" s="2" t="str">
        <x:v>P08</x:v>
      </x:c>
      <x:c r="D13" s="2" t="str">
        <x:v>Cickafark · Achillea Moonshine</x:v>
      </x:c>
      <x:c r="E13" s="9" t="n">
        <x:f>SUM(F13:G13)</x:f>
        <x:v>133</x:v>
      </x:c>
      <x:c r="F13" s="23" t="n">
        <x:v>63</x:v>
      </x:c>
      <x:c r="G13" s="23" t="n">
        <x:v>70</x:v>
      </x:c>
      <x:c r="H13" s="24" t="n">
        <x:f>IF(ISNUMBER('Egységárak'!E13),'Egységárak'!E13,NA())</x:f>
        <x:v>2500</x:v>
      </x:c>
      <x:c r="I13" s="9" t="n">
        <x:f>E13*H13</x:f>
        <x:v>332500</x:v>
      </x:c>
      <x:c r="J13" s="9" t="n">
        <x:f>F13*H13</x:f>
        <x:v>157500</x:v>
      </x:c>
      <x:c r="K13" s="9" t="n">
        <x:f>G13*H13</x:f>
        <x:v>175000</x:v>
      </x:c>
      <x:c r="L13" s="2" t="str">
        <x:v>Évelő</x:v>
      </x:c>
      <x:c r="M13" s="2"/>
      <x:c r="N13" s="2"/>
      <x:c r="O13" s="2"/>
      <x:c r="P13" s="2"/>
      <x:c r="Q13" s="2"/>
    </x:row>
    <x:row r="14" ht="23" customHeight="1">
      <x:c r="A14" s="2"/>
      <x:c r="B14" s="2" t="str">
        <x:v>A</x:v>
      </x:c>
      <x:c r="C14" s="2" t="str">
        <x:v>P09</x:v>
      </x:c>
      <x:c r="D14" s="2" t="str">
        <x:v>Bíbor kasvirág · Echinacea Magnus</x:v>
      </x:c>
      <x:c r="E14" s="9" t="n">
        <x:f>SUM(F14:G14)</x:f>
        <x:v>123</x:v>
      </x:c>
      <x:c r="F14" s="23" t="n">
        <x:v>75</x:v>
      </x:c>
      <x:c r="G14" s="23" t="n">
        <x:v>48</x:v>
      </x:c>
      <x:c r="H14" s="24" t="n">
        <x:f>IF(ISNUMBER('Egységárak'!E14),'Egységárak'!E14,NA())</x:f>
        <x:v>1490</x:v>
      </x:c>
      <x:c r="I14" s="9" t="n">
        <x:f>E14*H14</x:f>
        <x:v>183270</x:v>
      </x:c>
      <x:c r="J14" s="9" t="n">
        <x:f>F14*H14</x:f>
        <x:v>111750</x:v>
      </x:c>
      <x:c r="K14" s="9" t="n">
        <x:f>G14*H14</x:f>
        <x:v>71520</x:v>
      </x:c>
      <x:c r="L14" s="2" t="str">
        <x:v>Évelő</x:v>
      </x:c>
      <x:c r="M14" s="2"/>
      <x:c r="N14" s="2"/>
      <x:c r="O14" s="2"/>
      <x:c r="P14" s="2"/>
      <x:c r="Q14" s="2"/>
    </x:row>
    <x:row r="15" ht="23" customHeight="1">
      <x:c r="A15" s="2"/>
      <x:c r="B15" s="2" t="str">
        <x:v>A</x:v>
      </x:c>
      <x:c r="C15" s="2" t="str">
        <x:v>P10</x:v>
      </x:c>
      <x:c r="D15" s="2" t="str">
        <x:v>Vesszős köles · Panicum Northwind</x:v>
      </x:c>
      <x:c r="E15" s="9" t="n">
        <x:f>SUM(F15:G15)</x:f>
        <x:v>104</x:v>
      </x:c>
      <x:c r="F15" s="23" t="n">
        <x:v>64</x:v>
      </x:c>
      <x:c r="G15" s="23" t="n">
        <x:v>40</x:v>
      </x:c>
      <x:c r="H15" s="24" t="n">
        <x:f>IF(ISNUMBER('Egységárak'!E15),'Egységárak'!E15,NA())</x:f>
        <x:v>1890</x:v>
      </x:c>
      <x:c r="I15" s="9" t="n">
        <x:f>E15*H15</x:f>
        <x:v>196560</x:v>
      </x:c>
      <x:c r="J15" s="9" t="n">
        <x:f>F15*H15</x:f>
        <x:v>120960</x:v>
      </x:c>
      <x:c r="K15" s="9" t="n">
        <x:f>G15*H15</x:f>
        <x:v>75600</x:v>
      </x:c>
      <x:c r="L15" s="2" t="str">
        <x:v>Évelő</x:v>
      </x:c>
      <x:c r="M15" s="2"/>
      <x:c r="N15" s="2"/>
      <x:c r="O15" s="2"/>
      <x:c r="P15" s="2"/>
      <x:c r="Q15" s="2"/>
    </x:row>
    <x:row r="16" ht="23" customHeight="1">
      <x:c r="A16" s="2"/>
      <x:c r="B16" s="2" t="str">
        <x:v>A</x:v>
      </x:c>
      <x:c r="C16" s="2" t="str">
        <x:v>P13</x:v>
      </x:c>
      <x:c r="D16" s="2" t="str">
        <x:v>Pompás varjúháj · Sedum Herbstfreude</x:v>
      </x:c>
      <x:c r="E16" s="9" t="n">
        <x:f>SUM(F16:G16)</x:f>
        <x:v>125</x:v>
      </x:c>
      <x:c r="F16" s="23" t="n">
        <x:v>79</x:v>
      </x:c>
      <x:c r="G16" s="23" t="n">
        <x:v>46</x:v>
      </x:c>
      <x:c r="H16" s="24" t="n">
        <x:f>IF(ISNUMBER('Egységárak'!E18),'Egységárak'!E18,NA())</x:f>
        <x:v>1990</x:v>
      </x:c>
      <x:c r="I16" s="9" t="n">
        <x:f>E16*H16</x:f>
        <x:v>248750</x:v>
      </x:c>
      <x:c r="J16" s="9" t="n">
        <x:f>F16*H16</x:f>
        <x:v>157210</x:v>
      </x:c>
      <x:c r="K16" s="9" t="n">
        <x:f>G16*H16</x:f>
        <x:v>91540</x:v>
      </x:c>
      <x:c r="L16" s="2" t="str">
        <x:v>Évelő</x:v>
      </x:c>
      <x:c r="M16" s="2"/>
      <x:c r="N16" s="2"/>
      <x:c r="O16" s="2"/>
      <x:c r="P16" s="2"/>
      <x:c r="Q16" s="2"/>
    </x:row>
    <x:row r="17" ht="23" customHeight="1">
      <x:c r="A17" s="2"/>
      <x:c r="B17" s="2" t="str">
        <x:v>A</x:v>
      </x:c>
      <x:c r="C17" s="2" t="str">
        <x:v>P18</x:v>
      </x:c>
      <x:c r="D17" s="2" t="str">
        <x:v>Rezisztens csemegeszőlő · Vitis Palatina</x:v>
      </x:c>
      <x:c r="E17" s="9" t="n">
        <x:f>SUM(F17:G17)</x:f>
        <x:v>4</x:v>
      </x:c>
      <x:c r="F17" s="23" t="n">
        <x:v>0</x:v>
      </x:c>
      <x:c r="G17" s="23" t="n">
        <x:v>4</x:v>
      </x:c>
      <x:c r="H17" s="24" t="n">
        <x:f>IF(ISNUMBER('Egységárak'!E23),'Egységárak'!E23,NA())</x:f>
        <x:v>4900</x:v>
      </x:c>
      <x:c r="I17" s="9" t="n">
        <x:f>E17*H17</x:f>
        <x:v>19600</x:v>
      </x:c>
      <x:c r="J17" s="9" t="n">
        <x:f>F17*H17</x:f>
        <x:v>0</x:v>
      </x:c>
      <x:c r="K17" s="9" t="n">
        <x:f>G17*H17</x:f>
        <x:v>19600</x:v>
      </x:c>
      <x:c r="L17" s="2" t="str">
        <x:v>Szőlő</x:v>
      </x:c>
      <x:c r="M17" s="2"/>
      <x:c r="N17" s="2"/>
      <x:c r="O17" s="2"/>
      <x:c r="P17" s="2"/>
      <x:c r="Q17" s="2"/>
    </x:row>
    <x:row r="18" ht="23" customHeight="1">
      <x:c r="A18" s="2"/>
      <x:c r="B18" s="15" t="str">
        <x:v>B</x:v>
      </x:c>
      <x:c r="C18" s="15" t="str">
        <x:v>P01</x:v>
      </x:c>
      <x:c r="D18" s="15" t="str">
        <x:v>Tövismentes aranylepényfa · Gleditsia Sunburst</x:v>
      </x:c>
      <x:c r="E18" s="20" t="n">
        <x:f>SUM(F18:G18)</x:f>
        <x:v>3</x:v>
      </x:c>
      <x:c r="F18" s="21" t="n">
        <x:v>3</x:v>
      </x:c>
      <x:c r="G18" s="21" t="n">
        <x:v>0</x:v>
      </x:c>
      <x:c r="H18" s="22" t="n">
        <x:f>IF(ISNUMBER('Egységárak'!E7),'Egységárak'!E7,NA())</x:f>
        <x:v>38000</x:v>
      </x:c>
      <x:c r="I18" s="20" t="n">
        <x:f>E18*H18</x:f>
        <x:v>114000</x:v>
      </x:c>
      <x:c r="J18" s="20" t="n">
        <x:f>F18*H18</x:f>
        <x:v>114000</x:v>
      </x:c>
      <x:c r="K18" s="20" t="n">
        <x:f>G18*H18</x:f>
        <x:v>0</x:v>
      </x:c>
      <x:c r="L18" s="15" t="str">
        <x:v>Fa</x:v>
      </x:c>
      <x:c r="M18" s="2"/>
      <x:c r="N18" s="2"/>
      <x:c r="O18" s="2"/>
      <x:c r="P18" s="2"/>
      <x:c r="Q18" s="2"/>
    </x:row>
    <x:row r="19" ht="23" customHeight="1">
      <x:c r="A19" s="2"/>
      <x:c r="B19" s="2" t="str">
        <x:v>B</x:v>
      </x:c>
      <x:c r="C19" s="2" t="str">
        <x:v>P03</x:v>
      </x:c>
      <x:c r="D19" s="2" t="str">
        <x:v>Húsos som · Cornus mas</x:v>
      </x:c>
      <x:c r="E19" s="9" t="n">
        <x:f>SUM(F19:G19)</x:f>
        <x:v>22</x:v>
      </x:c>
      <x:c r="F19" s="23" t="n">
        <x:v>12</x:v>
      </x:c>
      <x:c r="G19" s="23" t="n">
        <x:v>10</x:v>
      </x:c>
      <x:c r="H19" s="24" t="n">
        <x:f>IF(ISNUMBER('Egységárak'!E8),'Egységárak'!E8,NA())</x:f>
        <x:v>6490</x:v>
      </x:c>
      <x:c r="I19" s="9" t="n">
        <x:f>E19*H19</x:f>
        <x:v>142780</x:v>
      </x:c>
      <x:c r="J19" s="9" t="n">
        <x:f>F19*H19</x:f>
        <x:v>77880</x:v>
      </x:c>
      <x:c r="K19" s="9" t="n">
        <x:f>G19*H19</x:f>
        <x:v>64900</x:v>
      </x:c>
      <x:c r="L19" s="2" t="str">
        <x:v>Cserje</x:v>
      </x:c>
      <x:c r="M19" s="2"/>
      <x:c r="N19" s="2"/>
      <x:c r="O19" s="2"/>
      <x:c r="P19" s="2"/>
      <x:c r="Q19" s="2"/>
    </x:row>
    <x:row r="20" ht="23" customHeight="1">
      <x:c r="A20" s="2"/>
      <x:c r="B20" s="2" t="str">
        <x:v>B</x:v>
      </x:c>
      <x:c r="C20" s="2" t="str">
        <x:v>P04</x:v>
      </x:c>
      <x:c r="D20" s="2" t="str">
        <x:v>Bíbor cserszömörce · Cotinus Royal Purple</x:v>
      </x:c>
      <x:c r="E20" s="9" t="n">
        <x:f>SUM(F20:G20)</x:f>
        <x:v>10</x:v>
      </x:c>
      <x:c r="F20" s="23" t="n">
        <x:v>7</x:v>
      </x:c>
      <x:c r="G20" s="23" t="n">
        <x:v>3</x:v>
      </x:c>
      <x:c r="H20" s="24" t="n">
        <x:f>IF(ISNUMBER('Egységárak'!E9),'Egységárak'!E9,NA())</x:f>
        <x:v>8990</x:v>
      </x:c>
      <x:c r="I20" s="9" t="n">
        <x:f>E20*H20</x:f>
        <x:v>89900</x:v>
      </x:c>
      <x:c r="J20" s="9" t="n">
        <x:f>F20*H20</x:f>
        <x:v>62930</x:v>
      </x:c>
      <x:c r="K20" s="9" t="n">
        <x:f>G20*H20</x:f>
        <x:v>26970</x:v>
      </x:c>
      <x:c r="L20" s="2" t="str">
        <x:v>Cserje</x:v>
      </x:c>
      <x:c r="M20" s="2"/>
      <x:c r="N20" s="2"/>
      <x:c r="O20" s="2"/>
      <x:c r="P20" s="2"/>
      <x:c r="Q20" s="2"/>
    </x:row>
    <x:row r="21" ht="23" customHeight="1">
      <x:c r="A21" s="2"/>
      <x:c r="B21" s="2" t="str">
        <x:v>B</x:v>
      </x:c>
      <x:c r="C21" s="2" t="str">
        <x:v>P05</x:v>
      </x:c>
      <x:c r="D21" s="2" t="str">
        <x:v>Ostorménbangita · Viburnum lantana</x:v>
      </x:c>
      <x:c r="E21" s="9" t="n">
        <x:f>SUM(F21:G21)</x:f>
        <x:v>24</x:v>
      </x:c>
      <x:c r="F21" s="23" t="n">
        <x:v>14</x:v>
      </x:c>
      <x:c r="G21" s="23" t="n">
        <x:v>10</x:v>
      </x:c>
      <x:c r="H21" s="24" t="n">
        <x:f>IF(ISNUMBER('Egységárak'!E10),'Egységárak'!E10,NA())</x:f>
        <x:v>6990</x:v>
      </x:c>
      <x:c r="I21" s="9" t="n">
        <x:f>E21*H21</x:f>
        <x:v>167760</x:v>
      </x:c>
      <x:c r="J21" s="9" t="n">
        <x:f>F21*H21</x:f>
        <x:v>97860</x:v>
      </x:c>
      <x:c r="K21" s="9" t="n">
        <x:f>G21*H21</x:f>
        <x:v>69900</x:v>
      </x:c>
      <x:c r="L21" s="2" t="str">
        <x:v>Cserje</x:v>
      </x:c>
      <x:c r="M21" s="2"/>
      <x:c r="N21" s="2"/>
      <x:c r="O21" s="2"/>
      <x:c r="P21" s="2"/>
      <x:c r="Q21" s="2"/>
    </x:row>
    <x:row r="22" ht="23" customHeight="1">
      <x:c r="A22" s="2"/>
      <x:c r="B22" s="2" t="str">
        <x:v>B</x:v>
      </x:c>
      <x:c r="C22" s="2" t="str">
        <x:v>P07</x:v>
      </x:c>
      <x:c r="D22" s="2" t="str">
        <x:v>Kerti macskamenta · Nepeta Walkers Low</x:v>
      </x:c>
      <x:c r="E22" s="9" t="n">
        <x:f>SUM(F22:G22)</x:f>
        <x:v>102</x:v>
      </x:c>
      <x:c r="F22" s="23" t="n">
        <x:v>63</x:v>
      </x:c>
      <x:c r="G22" s="23" t="n">
        <x:v>39</x:v>
      </x:c>
      <x:c r="H22" s="24" t="n">
        <x:f>IF(ISNUMBER('Egységárak'!E12),'Egységárak'!E12,NA())</x:f>
        <x:v>2980</x:v>
      </x:c>
      <x:c r="I22" s="9" t="n">
        <x:f>E22*H22</x:f>
        <x:v>303960</x:v>
      </x:c>
      <x:c r="J22" s="9" t="n">
        <x:f>F22*H22</x:f>
        <x:v>187740</x:v>
      </x:c>
      <x:c r="K22" s="9" t="n">
        <x:f>G22*H22</x:f>
        <x:v>116220</x:v>
      </x:c>
      <x:c r="L22" s="2" t="str">
        <x:v>Évelő</x:v>
      </x:c>
      <x:c r="M22" s="2"/>
      <x:c r="N22" s="2"/>
      <x:c r="O22" s="2"/>
      <x:c r="P22" s="2"/>
      <x:c r="Q22" s="2"/>
    </x:row>
    <x:row r="23" ht="23" customHeight="1">
      <x:c r="A23" s="2"/>
      <x:c r="B23" s="2" t="str">
        <x:v>B</x:v>
      </x:c>
      <x:c r="C23" s="2" t="str">
        <x:v>P11</x:v>
      </x:c>
      <x:c r="D23" s="2" t="str">
        <x:v>Illatos gólyaorr · Geranium macrorrhizum Album</x:v>
      </x:c>
      <x:c r="E23" s="9" t="n">
        <x:f>SUM(F23:G23)</x:f>
        <x:v>199</x:v>
      </x:c>
      <x:c r="F23" s="23" t="n">
        <x:v>108</x:v>
      </x:c>
      <x:c r="G23" s="23" t="n">
        <x:v>91</x:v>
      </x:c>
      <x:c r="H23" s="24" t="n">
        <x:f>IF(ISNUMBER('Egységárak'!E16),'Egységárak'!E16,NA())</x:f>
        <x:v>1790</x:v>
      </x:c>
      <x:c r="I23" s="9" t="n">
        <x:f>E23*H23</x:f>
        <x:v>356210</x:v>
      </x:c>
      <x:c r="J23" s="9" t="n">
        <x:f>F23*H23</x:f>
        <x:v>193320</x:v>
      </x:c>
      <x:c r="K23" s="9" t="n">
        <x:f>G23*H23</x:f>
        <x:v>162890</x:v>
      </x:c>
      <x:c r="L23" s="2" t="str">
        <x:v>Évelő</x:v>
      </x:c>
      <x:c r="M23" s="2"/>
      <x:c r="N23" s="2"/>
      <x:c r="O23" s="2"/>
      <x:c r="P23" s="2"/>
      <x:c r="Q23" s="2"/>
    </x:row>
    <x:row r="24" ht="23" customHeight="1">
      <x:c r="A24" s="2"/>
      <x:c r="B24" s="2" t="str">
        <x:v>B</x:v>
      </x:c>
      <x:c r="C24" s="2" t="str">
        <x:v>P12</x:v>
      </x:c>
      <x:c r="D24" s="2" t="str">
        <x:v>Őszi nyúlfarkfű · Sesleria autumnalis</x:v>
      </x:c>
      <x:c r="E24" s="9" t="n">
        <x:f>SUM(F24:G24)</x:f>
        <x:v>183</x:v>
      </x:c>
      <x:c r="F24" s="23" t="n">
        <x:v>109</x:v>
      </x:c>
      <x:c r="G24" s="23" t="n">
        <x:v>74</x:v>
      </x:c>
      <x:c r="H24" s="24" t="n">
        <x:f>IF(ISNUMBER('Egységárak'!E17),'Egységárak'!E17,NA())</x:f>
        <x:v>990</x:v>
      </x:c>
      <x:c r="I24" s="9" t="n">
        <x:f>E24*H24</x:f>
        <x:v>181170</x:v>
      </x:c>
      <x:c r="J24" s="9" t="n">
        <x:f>F24*H24</x:f>
        <x:v>107910</x:v>
      </x:c>
      <x:c r="K24" s="9" t="n">
        <x:f>G24*H24</x:f>
        <x:v>73260</x:v>
      </x:c>
      <x:c r="L24" s="2" t="str">
        <x:v>Évelő</x:v>
      </x:c>
      <x:c r="M24" s="2"/>
      <x:c r="N24" s="2"/>
      <x:c r="O24" s="2"/>
      <x:c r="P24" s="2"/>
      <x:c r="Q24" s="2"/>
    </x:row>
    <x:row r="25" ht="23" customHeight="1">
      <x:c r="A25" s="2"/>
      <x:c r="B25" s="2" t="str">
        <x:v>B</x:v>
      </x:c>
      <x:c r="C25" s="2" t="str">
        <x:v>P13</x:v>
      </x:c>
      <x:c r="D25" s="2" t="str">
        <x:v>Pompás varjúháj · Sedum Herbstfreude</x:v>
      </x:c>
      <x:c r="E25" s="9" t="n">
        <x:f>SUM(F25:G25)</x:f>
        <x:v>94</x:v>
      </x:c>
      <x:c r="F25" s="23" t="n">
        <x:v>58</x:v>
      </x:c>
      <x:c r="G25" s="23" t="n">
        <x:v>36</x:v>
      </x:c>
      <x:c r="H25" s="24" t="n">
        <x:f>IF(ISNUMBER('Egységárak'!E18),'Egységárak'!E18,NA())</x:f>
        <x:v>1990</x:v>
      </x:c>
      <x:c r="I25" s="9" t="n">
        <x:f>E25*H25</x:f>
        <x:v>187060</x:v>
      </x:c>
      <x:c r="J25" s="9" t="n">
        <x:f>F25*H25</x:f>
        <x:v>115420</x:v>
      </x:c>
      <x:c r="K25" s="9" t="n">
        <x:f>G25*H25</x:f>
        <x:v>71640</x:v>
      </x:c>
      <x:c r="L25" s="2" t="str">
        <x:v>Évelő</x:v>
      </x:c>
      <x:c r="M25" s="2"/>
      <x:c r="N25" s="2"/>
      <x:c r="O25" s="2"/>
      <x:c r="P25" s="2"/>
      <x:c r="Q25" s="2"/>
    </x:row>
    <x:row r="26" ht="23" customHeight="1">
      <x:c r="A26" s="2"/>
      <x:c r="B26" s="2" t="str">
        <x:v>B</x:v>
      </x:c>
      <x:c r="C26" s="2" t="str">
        <x:v>P18</x:v>
      </x:c>
      <x:c r="D26" s="2" t="str">
        <x:v>Rezisztens csemegeszőlő · Vitis Palatina</x:v>
      </x:c>
      <x:c r="E26" s="9" t="n">
        <x:f>SUM(F26:G26)</x:f>
        <x:v>4</x:v>
      </x:c>
      <x:c r="F26" s="23" t="n">
        <x:v>0</x:v>
      </x:c>
      <x:c r="G26" s="23" t="n">
        <x:v>4</x:v>
      </x:c>
      <x:c r="H26" s="24" t="n">
        <x:f>IF(ISNUMBER('Egységárak'!E23),'Egységárak'!E23,NA())</x:f>
        <x:v>4900</x:v>
      </x:c>
      <x:c r="I26" s="9" t="n">
        <x:f>E26*H26</x:f>
        <x:v>19600</x:v>
      </x:c>
      <x:c r="J26" s="9" t="n">
        <x:f>F26*H26</x:f>
        <x:v>0</x:v>
      </x:c>
      <x:c r="K26" s="9" t="n">
        <x:f>G26*H26</x:f>
        <x:v>19600</x:v>
      </x:c>
      <x:c r="L26" s="2" t="str">
        <x:v>Szőlő</x:v>
      </x:c>
      <x:c r="M26" s="2"/>
      <x:c r="N26" s="2"/>
      <x:c r="O26" s="2"/>
      <x:c r="P26" s="2"/>
      <x:c r="Q26" s="2"/>
    </x:row>
    <x:row r="27" ht="23" customHeight="1">
      <x:c r="A27" s="2"/>
      <x:c r="B27" s="15" t="str">
        <x:v>C</x:v>
      </x:c>
      <x:c r="C27" s="15" t="str">
        <x:v>P01</x:v>
      </x:c>
      <x:c r="D27" s="15" t="str">
        <x:v>Tövismentes aranylepényfa · Gleditsia Sunburst</x:v>
      </x:c>
      <x:c r="E27" s="20" t="n">
        <x:f>SUM(F27:G27)</x:f>
        <x:v>3</x:v>
      </x:c>
      <x:c r="F27" s="21" t="n">
        <x:v>3</x:v>
      </x:c>
      <x:c r="G27" s="21" t="n">
        <x:v>0</x:v>
      </x:c>
      <x:c r="H27" s="22" t="n">
        <x:f>IF(ISNUMBER('Egységárak'!E7),'Egységárak'!E7,NA())</x:f>
        <x:v>38000</x:v>
      </x:c>
      <x:c r="I27" s="20" t="n">
        <x:f>E27*H27</x:f>
        <x:v>114000</x:v>
      </x:c>
      <x:c r="J27" s="20" t="n">
        <x:f>F27*H27</x:f>
        <x:v>114000</x:v>
      </x:c>
      <x:c r="K27" s="20" t="n">
        <x:f>G27*H27</x:f>
        <x:v>0</x:v>
      </x:c>
      <x:c r="L27" s="15" t="str">
        <x:v>Fa</x:v>
      </x:c>
      <x:c r="M27" s="2"/>
      <x:c r="N27" s="2"/>
      <x:c r="O27" s="2"/>
      <x:c r="P27" s="2"/>
      <x:c r="Q27" s="2"/>
    </x:row>
    <x:row r="28" ht="23" customHeight="1">
      <x:c r="A28" s="2"/>
      <x:c r="B28" s="2" t="str">
        <x:v>C</x:v>
      </x:c>
      <x:c r="C28" s="2" t="str">
        <x:v>P03</x:v>
      </x:c>
      <x:c r="D28" s="2" t="str">
        <x:v>Húsos som · Cornus mas</x:v>
      </x:c>
      <x:c r="E28" s="9" t="n">
        <x:f>SUM(F28:G28)</x:f>
        <x:v>22</x:v>
      </x:c>
      <x:c r="F28" s="23" t="n">
        <x:v>13</x:v>
      </x:c>
      <x:c r="G28" s="23" t="n">
        <x:v>9</x:v>
      </x:c>
      <x:c r="H28" s="24" t="n">
        <x:f>IF(ISNUMBER('Egységárak'!E8),'Egységárak'!E8,NA())</x:f>
        <x:v>6490</x:v>
      </x:c>
      <x:c r="I28" s="9" t="n">
        <x:f>E28*H28</x:f>
        <x:v>142780</x:v>
      </x:c>
      <x:c r="J28" s="9" t="n">
        <x:f>F28*H28</x:f>
        <x:v>84370</x:v>
      </x:c>
      <x:c r="K28" s="9" t="n">
        <x:f>G28*H28</x:f>
        <x:v>58410</x:v>
      </x:c>
      <x:c r="L28" s="2" t="str">
        <x:v>Cserje</x:v>
      </x:c>
      <x:c r="M28" s="2"/>
      <x:c r="N28" s="2"/>
      <x:c r="O28" s="2"/>
      <x:c r="P28" s="2"/>
      <x:c r="Q28" s="2"/>
    </x:row>
    <x:row r="29" ht="23" customHeight="1">
      <x:c r="A29" s="2"/>
      <x:c r="B29" s="2" t="str">
        <x:v>C</x:v>
      </x:c>
      <x:c r="C29" s="2" t="str">
        <x:v>P04</x:v>
      </x:c>
      <x:c r="D29" s="2" t="str">
        <x:v>Bíbor cserszömörce · Cotinus Royal Purple</x:v>
      </x:c>
      <x:c r="E29" s="9" t="n">
        <x:f>SUM(F29:G29)</x:f>
        <x:v>6</x:v>
      </x:c>
      <x:c r="F29" s="23" t="n">
        <x:v>3</x:v>
      </x:c>
      <x:c r="G29" s="23" t="n">
        <x:v>3</x:v>
      </x:c>
      <x:c r="H29" s="24" t="n">
        <x:f>IF(ISNUMBER('Egységárak'!E9),'Egységárak'!E9,NA())</x:f>
        <x:v>8990</x:v>
      </x:c>
      <x:c r="I29" s="9" t="n">
        <x:f>E29*H29</x:f>
        <x:v>53940</x:v>
      </x:c>
      <x:c r="J29" s="9" t="n">
        <x:f>F29*H29</x:f>
        <x:v>26970</x:v>
      </x:c>
      <x:c r="K29" s="9" t="n">
        <x:f>G29*H29</x:f>
        <x:v>26970</x:v>
      </x:c>
      <x:c r="L29" s="2" t="str">
        <x:v>Cserje</x:v>
      </x:c>
      <x:c r="M29" s="2"/>
      <x:c r="N29" s="2"/>
      <x:c r="O29" s="2"/>
      <x:c r="P29" s="2"/>
      <x:c r="Q29" s="2"/>
    </x:row>
    <x:row r="30" ht="23" customHeight="1">
      <x:c r="A30" s="2"/>
      <x:c r="B30" s="2" t="str">
        <x:v>C</x:v>
      </x:c>
      <x:c r="C30" s="2" t="str">
        <x:v>P05</x:v>
      </x:c>
      <x:c r="D30" s="2" t="str">
        <x:v>Ostorménbangita · Viburnum lantana</x:v>
      </x:c>
      <x:c r="E30" s="9" t="n">
        <x:f>SUM(F30:G30)</x:f>
        <x:v>12</x:v>
      </x:c>
      <x:c r="F30" s="23" t="n">
        <x:v>6</x:v>
      </x:c>
      <x:c r="G30" s="23" t="n">
        <x:v>6</x:v>
      </x:c>
      <x:c r="H30" s="24" t="n">
        <x:f>IF(ISNUMBER('Egységárak'!E10),'Egységárak'!E10,NA())</x:f>
        <x:v>6990</x:v>
      </x:c>
      <x:c r="I30" s="9" t="n">
        <x:f>E30*H30</x:f>
        <x:v>83880</x:v>
      </x:c>
      <x:c r="J30" s="9" t="n">
        <x:f>F30*H30</x:f>
        <x:v>41940</x:v>
      </x:c>
      <x:c r="K30" s="9" t="n">
        <x:f>G30*H30</x:f>
        <x:v>41940</x:v>
      </x:c>
      <x:c r="L30" s="2" t="str">
        <x:v>Cserje</x:v>
      </x:c>
      <x:c r="M30" s="2"/>
      <x:c r="N30" s="2"/>
      <x:c r="O30" s="2"/>
      <x:c r="P30" s="2"/>
      <x:c r="Q30" s="2"/>
    </x:row>
    <x:row r="31" ht="23" customHeight="1">
      <x:c r="A31" s="2"/>
      <x:c r="B31" s="2" t="str">
        <x:v>C</x:v>
      </x:c>
      <x:c r="C31" s="2" t="str">
        <x:v>P07</x:v>
      </x:c>
      <x:c r="D31" s="2" t="str">
        <x:v>Kerti macskamenta · Nepeta Walkers Low</x:v>
      </x:c>
      <x:c r="E31" s="9" t="n">
        <x:f>SUM(F31:G31)</x:f>
        <x:v>125</x:v>
      </x:c>
      <x:c r="F31" s="23" t="n">
        <x:v>79</x:v>
      </x:c>
      <x:c r="G31" s="23" t="n">
        <x:v>46</x:v>
      </x:c>
      <x:c r="H31" s="24" t="n">
        <x:f>IF(ISNUMBER('Egységárak'!E12),'Egységárak'!E12,NA())</x:f>
        <x:v>2980</x:v>
      </x:c>
      <x:c r="I31" s="9" t="n">
        <x:f>E31*H31</x:f>
        <x:v>372500</x:v>
      </x:c>
      <x:c r="J31" s="9" t="n">
        <x:f>F31*H31</x:f>
        <x:v>235420</x:v>
      </x:c>
      <x:c r="K31" s="9" t="n">
        <x:f>G31*H31</x:f>
        <x:v>137080</x:v>
      </x:c>
      <x:c r="L31" s="2" t="str">
        <x:v>Évelő</x:v>
      </x:c>
      <x:c r="M31" s="2"/>
      <x:c r="N31" s="2"/>
      <x:c r="O31" s="2"/>
      <x:c r="P31" s="2"/>
      <x:c r="Q31" s="2"/>
    </x:row>
    <x:row r="32" ht="23" customHeight="1">
      <x:c r="A32" s="2"/>
      <x:c r="B32" s="2" t="str">
        <x:v>C</x:v>
      </x:c>
      <x:c r="C32" s="2" t="str">
        <x:v>P10</x:v>
      </x:c>
      <x:c r="D32" s="2" t="str">
        <x:v>Vesszős köles · Panicum Northwind</x:v>
      </x:c>
      <x:c r="E32" s="9" t="n">
        <x:f>SUM(F32:G32)</x:f>
        <x:v>123</x:v>
      </x:c>
      <x:c r="F32" s="23" t="n">
        <x:v>75</x:v>
      </x:c>
      <x:c r="G32" s="23" t="n">
        <x:v>48</x:v>
      </x:c>
      <x:c r="H32" s="24" t="n">
        <x:f>IF(ISNUMBER('Egységárak'!E15),'Egységárak'!E15,NA())</x:f>
        <x:v>1890</x:v>
      </x:c>
      <x:c r="I32" s="9" t="n">
        <x:f>E32*H32</x:f>
        <x:v>232470</x:v>
      </x:c>
      <x:c r="J32" s="9" t="n">
        <x:f>F32*H32</x:f>
        <x:v>141750</x:v>
      </x:c>
      <x:c r="K32" s="9" t="n">
        <x:f>G32*H32</x:f>
        <x:v>90720</x:v>
      </x:c>
      <x:c r="L32" s="2" t="str">
        <x:v>Évelő</x:v>
      </x:c>
      <x:c r="M32" s="2"/>
      <x:c r="N32" s="2"/>
      <x:c r="O32" s="2"/>
      <x:c r="P32" s="2"/>
      <x:c r="Q32" s="2"/>
    </x:row>
    <x:row r="33" ht="23" customHeight="1">
      <x:c r="A33" s="2"/>
      <x:c r="B33" s="2" t="str">
        <x:v>C</x:v>
      </x:c>
      <x:c r="C33" s="2" t="str">
        <x:v>P14</x:v>
      </x:c>
      <x:c r="D33" s="2" t="str">
        <x:v>Sudárzsálya · Perovskia Blue Spire</x:v>
      </x:c>
      <x:c r="E33" s="9" t="n">
        <x:f>SUM(F33:G33)</x:f>
        <x:v>122</x:v>
      </x:c>
      <x:c r="F33" s="23" t="n">
        <x:v>71</x:v>
      </x:c>
      <x:c r="G33" s="23" t="n">
        <x:v>51</x:v>
      </x:c>
      <x:c r="H33" s="24" t="n">
        <x:f>IF(ISNUMBER('Egységárak'!E19),'Egységárak'!E19,NA())</x:f>
        <x:v>2050</x:v>
      </x:c>
      <x:c r="I33" s="9" t="n">
        <x:f>E33*H33</x:f>
        <x:v>250100</x:v>
      </x:c>
      <x:c r="J33" s="9" t="n">
        <x:f>F33*H33</x:f>
        <x:v>145550</x:v>
      </x:c>
      <x:c r="K33" s="9" t="n">
        <x:f>G33*H33</x:f>
        <x:v>104550</x:v>
      </x:c>
      <x:c r="L33" s="2" t="str">
        <x:v>Évelő</x:v>
      </x:c>
      <x:c r="M33" s="2"/>
      <x:c r="N33" s="2"/>
      <x:c r="O33" s="2"/>
      <x:c r="P33" s="2"/>
      <x:c r="Q33" s="2"/>
    </x:row>
    <x:row r="34" ht="23" customHeight="1">
      <x:c r="A34" s="2"/>
      <x:c r="B34" s="2" t="str">
        <x:v>C</x:v>
      </x:c>
      <x:c r="C34" s="2" t="str">
        <x:v>P15</x:v>
      </x:c>
      <x:c r="D34" s="2" t="str">
        <x:v>Levendula · Lavandula Hidcote Blue</x:v>
      </x:c>
      <x:c r="E34" s="9" t="n">
        <x:f>SUM(F34:G34)</x:f>
        <x:v>131</x:v>
      </x:c>
      <x:c r="F34" s="23" t="n">
        <x:v>76</x:v>
      </x:c>
      <x:c r="G34" s="23" t="n">
        <x:v>55</x:v>
      </x:c>
      <x:c r="H34" s="24" t="n">
        <x:f>IF(ISNUMBER('Egységárak'!E20),'Egységárak'!E20,NA())</x:f>
        <x:v>1450</x:v>
      </x:c>
      <x:c r="I34" s="9" t="n">
        <x:f>E34*H34</x:f>
        <x:v>189950</x:v>
      </x:c>
      <x:c r="J34" s="9" t="n">
        <x:f>F34*H34</x:f>
        <x:v>110200</x:v>
      </x:c>
      <x:c r="K34" s="9" t="n">
        <x:f>G34*H34</x:f>
        <x:v>79750</x:v>
      </x:c>
      <x:c r="L34" s="2" t="str">
        <x:v>Évelő</x:v>
      </x:c>
      <x:c r="M34" s="2"/>
      <x:c r="N34" s="2"/>
      <x:c r="O34" s="2"/>
      <x:c r="P34" s="2"/>
      <x:c r="Q34" s="2"/>
    </x:row>
    <x:row r="35" ht="23" customHeight="1">
      <x:c r="A35" s="2"/>
      <x:c r="B35" s="2" t="str">
        <x:v>C</x:v>
      </x:c>
      <x:c r="C35" s="2" t="str">
        <x:v>P16</x:v>
      </x:c>
      <x:c r="D35" s="2" t="str">
        <x:v>Kerti kakukkfű · Thymus vulgaris</x:v>
      </x:c>
      <x:c r="E35" s="9" t="n">
        <x:f>SUM(F35:G35)</x:f>
        <x:v>133</x:v>
      </x:c>
      <x:c r="F35" s="23" t="n">
        <x:v>63</x:v>
      </x:c>
      <x:c r="G35" s="23" t="n">
        <x:v>70</x:v>
      </x:c>
      <x:c r="H35" s="24" t="n">
        <x:f>IF(ISNUMBER('Egységárak'!E21),'Egységárak'!E21,NA())</x:f>
        <x:v>1390</x:v>
      </x:c>
      <x:c r="I35" s="9" t="n">
        <x:f>E35*H35</x:f>
        <x:v>184870</x:v>
      </x:c>
      <x:c r="J35" s="9" t="n">
        <x:f>F35*H35</x:f>
        <x:v>87570</x:v>
      </x:c>
      <x:c r="K35" s="9" t="n">
        <x:f>G35*H35</x:f>
        <x:v>97300</x:v>
      </x:c>
      <x:c r="L35" s="2" t="str">
        <x:v>Évelő</x:v>
      </x:c>
      <x:c r="M35" s="2"/>
      <x:c r="N35" s="2"/>
      <x:c r="O35" s="2"/>
      <x:c r="P35" s="2"/>
      <x:c r="Q35" s="2"/>
    </x:row>
    <x:row r="36" ht="23" customHeight="1">
      <x:c r="A36" s="2"/>
      <x:c r="B36" s="2" t="str">
        <x:v>C</x:v>
      </x:c>
      <x:c r="C36" s="2" t="str">
        <x:v>P17</x:v>
      </x:c>
      <x:c r="D36" s="2" t="str">
        <x:v>Szurokfű / oregánó · Origanum vulgare</x:v>
      </x:c>
      <x:c r="E36" s="9" t="n">
        <x:f>SUM(F36:G36)</x:f>
        <x:v>104</x:v>
      </x:c>
      <x:c r="F36" s="23" t="n">
        <x:v>64</x:v>
      </x:c>
      <x:c r="G36" s="23" t="n">
        <x:v>40</x:v>
      </x:c>
      <x:c r="H36" s="24" t="n">
        <x:f>IF(ISNUMBER('Egységárak'!E22),'Egységárak'!E22,NA())</x:f>
        <x:v>1190</x:v>
      </x:c>
      <x:c r="I36" s="9" t="n">
        <x:f>E36*H36</x:f>
        <x:v>123760</x:v>
      </x:c>
      <x:c r="J36" s="9" t="n">
        <x:f>F36*H36</x:f>
        <x:v>76160</x:v>
      </x:c>
      <x:c r="K36" s="9" t="n">
        <x:f>G36*H36</x:f>
        <x:v>47600</x:v>
      </x:c>
      <x:c r="L36" s="2" t="str">
        <x:v>Évelő</x:v>
      </x:c>
      <x:c r="M36" s="2"/>
      <x:c r="N36" s="2"/>
      <x:c r="O36" s="2"/>
      <x:c r="P36" s="2"/>
      <x:c r="Q36" s="2"/>
    </x:row>
    <x:row r="37" ht="23" customHeight="1">
      <x:c r="A37" s="2"/>
      <x:c r="B37" s="2" t="str">
        <x:v>C</x:v>
      </x:c>
      <x:c r="C37" s="2" t="str">
        <x:v>P18</x:v>
      </x:c>
      <x:c r="D37" s="2" t="str">
        <x:v>Rezisztens csemegeszőlő · Vitis Palatina</x:v>
      </x:c>
      <x:c r="E37" s="9" t="n">
        <x:f>SUM(F37:G37)</x:f>
        <x:v>4</x:v>
      </x:c>
      <x:c r="F37" s="23" t="n">
        <x:v>0</x:v>
      </x:c>
      <x:c r="G37" s="23" t="n">
        <x:v>4</x:v>
      </x:c>
      <x:c r="H37" s="24" t="n">
        <x:f>IF(ISNUMBER('Egységárak'!E23),'Egységárak'!E23,NA())</x:f>
        <x:v>4900</x:v>
      </x:c>
      <x:c r="I37" s="9" t="n">
        <x:f>E37*H37</x:f>
        <x:v>19600</x:v>
      </x:c>
      <x:c r="J37" s="9" t="n">
        <x:f>F37*H37</x:f>
        <x:v>0</x:v>
      </x:c>
      <x:c r="K37" s="9" t="n">
        <x:f>G37*H37</x:f>
        <x:v>19600</x:v>
      </x:c>
      <x:c r="L37" s="2" t="str">
        <x:v>Szőlő</x:v>
      </x:c>
      <x:c r="M37" s="2"/>
      <x:c r="N37" s="2"/>
      <x:c r="O37" s="2"/>
      <x:c r="P37" s="2"/>
      <x:c r="Q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355D49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" hidden="0" customWidth="1"/>
    <x:col min="2" max="2" width="42" hidden="0" customWidth="1"/>
    <x:col min="3" max="3" width="15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" hidden="0" customWidth="1"/>
    <x:col min="9" max="9" width="8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2" customHeight="1">
      <x:c r="A2" s="2"/>
      <x:c r="B2" s="3" t="str">
        <x:v>Kivitelezési keret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 t="str">
        <x:v>Szerkeszthető saját becslések, 2026. szeptember. Helyszíni kivitelezői ajánlat még nincs.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 t="str">
        <x:v>Mulcsréteg vastagsága, m</x:v>
      </x:c>
      <x:c r="C4" s="2"/>
      <x:c r="D4" s="26" t="n">
        <x:v>0.05</x:v>
      </x:c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35" customHeight="1">
      <x:c r="A6" s="2"/>
      <x:c r="B6" s="8" t="str">
        <x:v>Tétel</x:v>
      </x:c>
      <x:c r="C6" s="8" t="str">
        <x:v>Mennyiség</x:v>
      </x:c>
      <x:c r="D6" s="8" t="str">
        <x:v>Alsó egységár Ft</x:v>
      </x:c>
      <x:c r="E6" s="8" t="str">
        <x:v>Felső egységár Ft</x:v>
      </x:c>
      <x:c r="F6" s="8" t="str">
        <x:v>Alsó összeg Ft</x:v>
      </x:c>
      <x:c r="G6" s="8" t="str">
        <x:v>Felső összeg Ft</x:v>
      </x:c>
      <x:c r="H6" s="2"/>
      <x:c r="I6" s="13" t="str">
        <x:v>Mértékegység és terjedelem</x:v>
      </x:c>
      <x:c r="J6" s="2"/>
      <x:c r="K6" s="2"/>
      <x:c r="L6" s="2"/>
      <x:c r="M6" s="2"/>
      <x:c r="N6" s="2"/>
      <x:c r="O6" s="2"/>
      <x:c r="P6" s="2"/>
      <x:c r="Q6" s="2"/>
    </x:row>
    <x:row r="7" ht="23" customHeight="1">
      <x:c r="A7" s="2"/>
      <x:c r="B7" s="2" t="str">
        <x:v>Ágyás-előkészítés és talajjavítás</x:v>
      </x:c>
      <x:c r="C7" s="27" t="n">
        <x:v>287.99</x:v>
      </x:c>
      <x:c r="D7" s="23" t="n">
        <x:v>1500</x:v>
      </x:c>
      <x:c r="E7" s="23" t="n">
        <x:v>2500</x:v>
      </x:c>
      <x:c r="F7" s="9" t="n">
        <x:f>C7*D7</x:f>
        <x:v>431985</x:v>
      </x:c>
      <x:c r="G7" s="9" t="n">
        <x:f>C7*E7</x:f>
        <x:v>719975</x:v>
      </x:c>
      <x:c r="H7" s="2"/>
      <x:c r="I7" s="2" t="str">
        <x:v>m². Saját keret. Talajcsere, nagy tereprendezés nélkül.</x:v>
      </x:c>
      <x:c r="J7" s="2"/>
      <x:c r="K7" s="2"/>
      <x:c r="L7" s="2"/>
      <x:c r="M7" s="2"/>
      <x:c r="N7" s="2"/>
      <x:c r="O7" s="2"/>
      <x:c r="P7" s="2"/>
      <x:c r="Q7" s="2"/>
    </x:row>
    <x:row r="8" ht="23" customHeight="1">
      <x:c r="A8" s="2"/>
      <x:c r="B8" s="2" t="str">
        <x:v>Mulcs beszerzése és terítése</x:v>
      </x:c>
      <x:c r="C8" s="14" t="n">
        <x:f>C7*$D$4</x:f>
        <x:v>14.399500000000002</x:v>
      </x:c>
      <x:c r="D8" s="23" t="n">
        <x:v>18000</x:v>
      </x:c>
      <x:c r="E8" s="23" t="n">
        <x:v>28000</x:v>
      </x:c>
      <x:c r="F8" s="9" t="n">
        <x:f>C8*D8</x:f>
        <x:v>259191.00000000003</x:v>
      </x:c>
      <x:c r="G8" s="9" t="n">
        <x:f>C8*E8</x:f>
        <x:v>403186.00000000006</x:v>
      </x:c>
      <x:c r="H8" s="2"/>
      <x:c r="I8" s="2" t="str">
        <x:v>m³. 5 cm réteg. Anyag és terítés saját kerete.</x:v>
      </x:c>
      <x:c r="J8" s="2"/>
      <x:c r="K8" s="2"/>
      <x:c r="L8" s="2"/>
      <x:c r="M8" s="2"/>
      <x:c r="N8" s="2"/>
      <x:c r="O8" s="2"/>
      <x:c r="P8" s="2"/>
      <x:c r="Q8" s="2"/>
    </x:row>
    <x:row r="9" ht="23" customHeight="1">
      <x:c r="A9" s="2"/>
      <x:c r="B9" s="2" t="str">
        <x:v>Faültetés és karózás</x:v>
      </x:c>
      <x:c r="C9" s="2" t="n">
        <x:f>MAX(E23:E25)</x:f>
        <x:v>3</x:v>
      </x:c>
      <x:c r="D9" s="23" t="n">
        <x:v>25000</x:v>
      </x:c>
      <x:c r="E9" s="23" t="n">
        <x:v>55000</x:v>
      </x:c>
      <x:c r="F9" s="9" t="n">
        <x:f>C9*D9</x:f>
        <x:v>75000</x:v>
      </x:c>
      <x:c r="G9" s="9" t="n">
        <x:f>C9*E9</x:f>
        <x:v>165000</x:v>
      </x:c>
      <x:c r="H9" s="2"/>
      <x:c r="I9" s="2" t="str">
        <x:v>db. C90 induló méret. Szállítás külön soron.</x:v>
      </x:c>
      <x:c r="J9" s="2"/>
      <x:c r="K9" s="2"/>
      <x:c r="L9" s="2"/>
      <x:c r="M9" s="2"/>
      <x:c r="N9" s="2"/>
      <x:c r="O9" s="2"/>
      <x:c r="P9" s="2"/>
      <x:c r="Q9" s="2"/>
    </x:row>
    <x:row r="10" ht="23" customHeight="1">
      <x:c r="A10" s="2"/>
      <x:c r="B10" s="2" t="str">
        <x:v>Öntözőrendszer</x:v>
      </x:c>
      <x:c r="C10" s="17" t="n">
        <x:v>1</x:v>
      </x:c>
      <x:c r="D10" s="23" t="n">
        <x:v>800000</x:v>
      </x:c>
      <x:c r="E10" s="23" t="n">
        <x:v>1600000</x:v>
      </x:c>
      <x:c r="F10" s="9" t="n">
        <x:f>C10*D10</x:f>
        <x:v>800000</x:v>
      </x:c>
      <x:c r="G10" s="9" t="n">
        <x:f>C10*E10</x:f>
        <x:v>1600000</x:v>
      </x:c>
      <x:c r="H10" s="2"/>
      <x:c r="I10" s="2" t="str">
        <x:v>rendszer. Teljes kert, külön fa- és ágyáskörök. Kút, tartály, szivattyúgépészet nélkül.</x:v>
      </x:c>
      <x:c r="J10" s="2"/>
      <x:c r="K10" s="2"/>
      <x:c r="L10" s="2"/>
      <x:c r="M10" s="2"/>
      <x:c r="N10" s="2"/>
      <x:c r="O10" s="2"/>
      <x:c r="P10" s="2"/>
      <x:c r="Q10" s="2"/>
    </x:row>
    <x:row r="11" ht="23" customHeight="1">
      <x:c r="A11" s="2"/>
      <x:c r="B11" s="2" t="str">
        <x:v>Fa pergola és szőlőtámasz</x:v>
      </x:c>
      <x:c r="C11" s="17" t="n">
        <x:v>1</x:v>
      </x:c>
      <x:c r="D11" s="23" t="n">
        <x:v>600000</x:v>
      </x:c>
      <x:c r="E11" s="23" t="n">
        <x:v>1200000</x:v>
      </x:c>
      <x:c r="F11" s="9" t="n">
        <x:f>C11*D11</x:f>
        <x:v>600000</x:v>
      </x:c>
      <x:c r="G11" s="9" t="n">
        <x:f>C11*E11</x:f>
        <x:v>1200000</x:v>
      </x:c>
      <x:c r="H11" s="2"/>
      <x:c r="I11" s="2" t="str">
        <x:v>12 m². Saját keret egyszerű fa szerkezetre. Kiviteli terv szükséges.</x:v>
      </x:c>
      <x:c r="J11" s="2"/>
      <x:c r="K11" s="2"/>
      <x:c r="L11" s="2"/>
      <x:c r="M11" s="2"/>
      <x:c r="N11" s="2"/>
      <x:c r="O11" s="2"/>
      <x:c r="P11" s="2"/>
      <x:c r="Q11" s="2"/>
    </x:row>
    <x:row r="12" ht="23" customHeight="1">
      <x:c r="A12" s="2"/>
      <x:c r="B12" s="2" t="str">
        <x:v>Szállítás és kisgépes logisztika</x:v>
      </x:c>
      <x:c r="C12" s="17" t="n">
        <x:v>1</x:v>
      </x:c>
      <x:c r="D12" s="23" t="n">
        <x:v>100000</x:v>
      </x:c>
      <x:c r="E12" s="23" t="n">
        <x:v>200000</x:v>
      </x:c>
      <x:c r="F12" s="9" t="n">
        <x:f>C12*D12</x:f>
        <x:v>100000</x:v>
      </x:c>
      <x:c r="G12" s="9" t="n">
        <x:f>C12*E12</x:f>
        <x:v>200000</x:v>
      </x:c>
      <x:c r="H12" s="2"/>
      <x:c r="I12" s="2" t="str">
        <x:v>keret. Több beszállító miatt külön tétel.</x:v>
      </x:c>
      <x:c r="J12" s="2"/>
      <x:c r="K12" s="2"/>
      <x:c r="L12" s="2"/>
      <x:c r="M12" s="2"/>
      <x:c r="N12" s="2"/>
      <x:c r="O12" s="2"/>
      <x:c r="P12" s="2"/>
      <x:c r="Q12" s="2"/>
    </x:row>
    <x:row r="13" ht="23" customHeight="1">
      <x:c r="A13" s="2"/>
      <x:c r="B13" s="2" t="str">
        <x:v>Talajvizsgálat és kertészeti kitűzés</x:v>
      </x:c>
      <x:c r="C13" s="17" t="n">
        <x:v>1</x:v>
      </x:c>
      <x:c r="D13" s="23" t="n">
        <x:v>80000</x:v>
      </x:c>
      <x:c r="E13" s="23" t="n">
        <x:v>150000</x:v>
      </x:c>
      <x:c r="F13" s="9" t="n">
        <x:f>C13*D13</x:f>
        <x:v>80000</x:v>
      </x:c>
      <x:c r="G13" s="9" t="n">
        <x:f>C13*E13</x:f>
        <x:v>150000</x:v>
      </x:c>
      <x:c r="H13" s="2"/>
      <x:c r="I13" s="2" t="str">
        <x:v>keret. Helyszíni ágyáskitűzés, talaj/drénviszonyok egyeztetése.</x:v>
      </x:c>
      <x:c r="J13" s="2"/>
      <x:c r="K13" s="2"/>
      <x:c r="L13" s="2"/>
      <x:c r="M13" s="2"/>
      <x:c r="N13" s="2"/>
      <x:c r="O13" s="2"/>
      <x:c r="P13" s="2"/>
      <x:c r="Q13" s="2"/>
    </x:row>
    <x:row r="14" ht="23" customHeight="1">
      <x:c r="A14" s="2"/>
      <x:c r="B14" s="2"/>
      <x:c r="C14" s="2"/>
      <x:c r="D14" s="9"/>
      <x:c r="E14" s="9"/>
      <x:c r="F14" s="9"/>
      <x:c r="G14" s="9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3" customHeight="1">
      <x:c r="A15" s="2"/>
      <x:c r="B15" s="2"/>
      <x:c r="C15" s="2"/>
      <x:c r="D15" s="9"/>
      <x:c r="E15" s="9"/>
      <x:c r="F15" s="9"/>
      <x:c r="G15" s="9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3" customHeight="1">
      <x:c r="A16" s="2"/>
      <x:c r="B16" s="2" t="str">
        <x:v>Évelők ültetése</x:v>
      </x:c>
      <x:c r="C16" s="2"/>
      <x:c r="D16" s="23" t="n">
        <x:v>600</x:v>
      </x:c>
      <x:c r="E16" s="23" t="n">
        <x:v>1200</x:v>
      </x:c>
      <x:c r="F16" s="9"/>
      <x:c r="G16" s="9"/>
      <x:c r="H16" s="2"/>
      <x:c r="I16" s="2" t="str">
        <x:v>Ft/db. Évelők és díszfüvek.</x:v>
      </x:c>
      <x:c r="J16" s="2"/>
      <x:c r="K16" s="2"/>
      <x:c r="L16" s="2"/>
      <x:c r="M16" s="2"/>
      <x:c r="N16" s="2"/>
      <x:c r="O16" s="2"/>
      <x:c r="P16" s="2"/>
      <x:c r="Q16" s="2"/>
    </x:row>
    <x:row r="17" ht="23" customHeight="1">
      <x:c r="A17" s="2"/>
      <x:c r="B17" s="2" t="str">
        <x:v>Cserjék és szőlő ültetése</x:v>
      </x:c>
      <x:c r="C17" s="2"/>
      <x:c r="D17" s="23" t="n">
        <x:v>2500</x:v>
      </x:c>
      <x:c r="E17" s="23" t="n">
        <x:v>5000</x:v>
      </x:c>
      <x:c r="F17" s="9"/>
      <x:c r="G17" s="9"/>
      <x:c r="H17" s="2"/>
      <x:c r="I17" s="2" t="str">
        <x:v>Ft/db. Földlabda, beiszapolás és helyi anyagmozgatás.</x:v>
      </x:c>
      <x:c r="J17" s="2"/>
      <x:c r="K17" s="2"/>
      <x:c r="L17" s="2"/>
      <x:c r="M17" s="2"/>
      <x:c r="N17" s="2"/>
      <x:c r="O17" s="2"/>
      <x:c r="P17" s="2"/>
      <x:c r="Q17" s="2"/>
    </x:row>
    <x:row r="18" ht="23" customHeight="1">
      <x:c r="A18" s="2"/>
      <x:c r="B18" s="2"/>
      <x:c r="C18" s="2"/>
      <x:c r="D18" s="9"/>
      <x:c r="E18" s="9"/>
      <x:c r="F18" s="9"/>
      <x:c r="G18" s="9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3" customHeight="1">
      <x:c r="A19" s="2"/>
      <x:c r="B19" s="2" t="str">
        <x:v>Tartalék aránya</x:v>
      </x:c>
      <x:c r="C19" s="2"/>
      <x:c r="D19" s="30" t="n">
        <x:v>0.15</x:v>
      </x:c>
      <x:c r="E19" s="9"/>
      <x:c r="F19" s="9"/>
      <x:c r="G19" s="9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3" customHeight="1">
      <x:c r="A20" s="2"/>
      <x:c r="B20" s="2"/>
      <x:c r="C20" s="2"/>
      <x:c r="D20" s="9"/>
      <x:c r="E20" s="9"/>
      <x:c r="F20" s="9"/>
      <x:c r="G20" s="9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3" customHeight="1">
      <x:c r="A21" s="2"/>
      <x:c r="B21" s="2"/>
      <x:c r="C21" s="2"/>
      <x:c r="D21" s="9"/>
      <x:c r="E21" s="9"/>
      <x:c r="F21" s="9"/>
      <x:c r="G21" s="9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35" customHeight="1">
      <x:c r="A22" s="2"/>
      <x:c r="B22" s="8" t="str">
        <x:v>Koncepció</x:v>
      </x:c>
      <x:c r="C22" s="8" t="str">
        <x:v>Évelő db</x:v>
      </x:c>
      <x:c r="D22" s="34" t="str">
        <x:v>Cserje + szőlő db</x:v>
      </x:c>
      <x:c r="E22" s="34" t="str">
        <x:v>Fa db</x:v>
      </x:c>
      <x:c r="F22" s="34" t="str">
        <x:v>Alsó keret Ft</x:v>
      </x:c>
      <x:c r="G22" s="34" t="str">
        <x:v>Felső keret Ft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3" customHeight="1">
      <x:c r="A23" s="2"/>
      <x:c r="B23" s="2" t="str">
        <x:v>A – Virágos balatoni kert</x:v>
      </x:c>
      <x:c r="C23" s="19" t="n">
        <x:f>SUMIFS('Növényjegyzék'!$E$7:$E$37,'Növényjegyzék'!$B$7:$B$37,"A",'Növényjegyzék'!$L$7:$L$37,"Évelő")</x:f>
        <x:v>738</x:v>
      </x:c>
      <x:c r="D23" s="24" t="n">
        <x:f>SUMIFS('Növényjegyzék'!$E$7:$E$37,'Növényjegyzék'!$B$7:$B$37,"A",'Növényjegyzék'!$L$7:$L$37,"Cserje")+SUMIFS('Növényjegyzék'!$E$7:$E$37,'Növényjegyzék'!$B$7:$B$37,"A",'Növényjegyzék'!$L$7:$L$37,"Szőlő")</x:f>
        <x:v>44</x:v>
      </x:c>
      <x:c r="E23" s="24" t="n">
        <x:f>SUMIFS('Növényjegyzék'!$E$7:$E$37,'Növényjegyzék'!$B$7:$B$37,"A",'Növényjegyzék'!$L$7:$L$37,"Fa")</x:f>
        <x:v>3</x:v>
      </x:c>
      <x:c r="F23" s="12" t="n">
        <x:f>SUM($F$7:$F$8,$F$10:$F$13)+E23*$D$9+C23*$D$16+D23*$D$17</x:f>
        <x:v>2898976</x:v>
      </x:c>
      <x:c r="G23" s="12" t="n">
        <x:f>SUM($G$7:$G$8,$G$10:$G$13)+E23*$E$9+C23*$E$16+D23*$E$17</x:f>
        <x:v>5543761</x:v>
      </x:c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3" customHeight="1">
      <x:c r="A24" s="2"/>
      <x:c r="B24" s="2" t="str">
        <x:v>B – Világos lombsátor</x:v>
      </x:c>
      <x:c r="C24" s="19" t="n">
        <x:f>SUMIFS('Növényjegyzék'!$E$7:$E$37,'Növényjegyzék'!$B$7:$B$37,"B",'Növényjegyzék'!$L$7:$L$37,"Évelő")</x:f>
        <x:v>578</x:v>
      </x:c>
      <x:c r="D24" s="24" t="n">
        <x:f>SUMIFS('Növényjegyzék'!$E$7:$E$37,'Növényjegyzék'!$B$7:$B$37,"B",'Növényjegyzék'!$L$7:$L$37,"Cserje")+SUMIFS('Növényjegyzék'!$E$7:$E$37,'Növényjegyzék'!$B$7:$B$37,"B",'Növényjegyzék'!$L$7:$L$37,"Szőlő")</x:f>
        <x:v>60</x:v>
      </x:c>
      <x:c r="E24" s="24" t="n">
        <x:f>SUMIFS('Növényjegyzék'!$E$7:$E$37,'Növényjegyzék'!$B$7:$B$37,"B",'Növényjegyzék'!$L$7:$L$37,"Fa")</x:f>
        <x:v>3</x:v>
      </x:c>
      <x:c r="F24" s="11" t="n">
        <x:f>SUM($F$7:$F$8,$F$10:$F$13)+E24*$D$9+C24*$D$16+D24*$D$17</x:f>
        <x:v>2842976</x:v>
      </x:c>
      <x:c r="G24" s="11" t="n">
        <x:f>SUM($G$7:$G$8,$G$10:$G$13)+E24*$E$9+C24*$E$16+D24*$E$17</x:f>
        <x:v>5431761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/>
      <x:c r="B25" s="2" t="str">
        <x:v>C – Illatos, ehető kert</x:v>
      </x:c>
      <x:c r="C25" s="19" t="n">
        <x:f>SUMIFS('Növényjegyzék'!$E$7:$E$37,'Növényjegyzék'!$B$7:$B$37,"C",'Növényjegyzék'!$L$7:$L$37,"Évelő")</x:f>
        <x:v>738</x:v>
      </x:c>
      <x:c r="D25" s="24" t="n">
        <x:f>SUMIFS('Növényjegyzék'!$E$7:$E$37,'Növényjegyzék'!$B$7:$B$37,"C",'Növényjegyzék'!$L$7:$L$37,"Cserje")+SUMIFS('Növényjegyzék'!$E$7:$E$37,'Növényjegyzék'!$B$7:$B$37,"C",'Növényjegyzék'!$L$7:$L$37,"Szőlő")</x:f>
        <x:v>44</x:v>
      </x:c>
      <x:c r="E25" s="24" t="n">
        <x:f>SUMIFS('Növényjegyzék'!$E$7:$E$37,'Növényjegyzék'!$B$7:$B$37,"C",'Növényjegyzék'!$L$7:$L$37,"Fa")</x:f>
        <x:v>3</x:v>
      </x:c>
      <x:c r="F25" s="11" t="n">
        <x:f>SUM($F$7:$F$8,$F$10:$F$13)+E25*$D$9+C25*$D$16+D25*$D$17</x:f>
        <x:v>2898976</x:v>
      </x:c>
      <x:c r="G25" s="11" t="n">
        <x:f>SUM($G$7:$G$8,$G$10:$G$13)+E25*$E$9+C25*$E$16+D25*$E$17</x:f>
        <x:v>5543761</x:v>
      </x:c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3" customHeight="1">
      <x:c r="A28" s="2"/>
      <x:c r="B28" s="2" t="str">
        <x:v>Munkadíj-támpontok, a saját kerethez: Kerti Éden és Millekert nyilvános árlistái.</x:v>
      </x:c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/>
      <x:c r="B29" s="2" t="str">
        <x:v>https://kertieden.hu/kertepites-kertfenntartas-arak</x:v>
      </x:c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3" customHeight="1">
      <x:c r="A30" s="2"/>
      <x:c r="B30" s="2" t="str">
        <x:v>https://millekert.hu/arlista/</x:v>
      </x:c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3" customHeight="1">
      <x:c r="A31" s="2"/>
      <x:c r="B31" s="2" t="str">
        <x:v>https://www.raintech.hu/blog/ontozorendszer-arak-2026.html</x:v>
      </x:c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3" customHeight="1">
      <x:c r="A33" s="2"/>
      <x:c r="B33" s="2" t="str">
        <x:v>A keretek fizetendő összegként értendők. A kivitelező áfatartalmát ajánlatban kell tisztázni.</x:v>
      </x:c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35" customHeight="1">
      <x:c r="A36" s="2"/>
      <x:c r="B36" s="8" t="str">
        <x:v>Opcionális gyepvetés</x:v>
      </x:c>
      <x:c r="C36" s="8" t="str">
        <x:v>Terület m²</x:v>
      </x:c>
      <x:c r="D36" s="8" t="str">
        <x:v>Alsó Ft/m²</x:v>
      </x:c>
      <x:c r="E36" s="8" t="str">
        <x:v>Felső Ft/m²</x:v>
      </x:c>
      <x:c r="F36" s="8" t="str">
        <x:v>Alsó összeg Ft</x:v>
      </x:c>
      <x:c r="G36" s="8" t="str">
        <x:v>Felső összeg Ft</x:v>
      </x:c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3" customHeight="1">
      <x:c r="A37" s="2"/>
      <x:c r="B37" s="2" t="str">
        <x:v>Kiválasztott terület</x:v>
      </x:c>
      <x:c r="C37" s="36" t="n">
        <x:v>0</x:v>
      </x:c>
      <x:c r="D37" s="23" t="n">
        <x:v>1600</x:v>
      </x:c>
      <x:c r="E37" s="23" t="n">
        <x:v>2300</x:v>
      </x:c>
      <x:c r="F37" s="9" t="n">
        <x:f>C37*D37</x:f>
        <x:v>0</x:v>
      </x:c>
      <x:c r="G37" s="9" t="n">
        <x:f>C37*E37</x:f>
        <x:v>0</x:v>
      </x:c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3" customHeight="1">
      <x:c r="A38" s="2"/>
      <x:c r="B38" s="2" t="str">
        <x:v>Teljes nyitott terület</x:v>
      </x:c>
      <x:c r="C38" s="14" t="n">
        <x:v>640.9</x:v>
      </x:c>
      <x:c r="D38" s="9" t="n">
        <x:f>D37</x:f>
        <x:v>1600</x:v>
      </x:c>
      <x:c r="E38" s="9" t="n">
        <x:f>E37</x:f>
        <x:v>2300</x:v>
      </x:c>
      <x:c r="F38" s="9" t="n">
        <x:f>C38*D38</x:f>
        <x:v>1025440</x:v>
      </x:c>
      <x:c r="G38" s="9" t="n">
        <x:f>C38*E38</x:f>
        <x:v>1474070</x:v>
      </x:c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3" customHeight="1">
      <x:c r="A40" s="2"/>
      <x:c r="B40" s="2" t="str">
        <x:v>A báziskeret megőrzött nyitott felülettel számol. A teljes 640,90 m² útvonalakat is tartalmaz.</x:v>
      </x:c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3" customHeight="1">
      <x:c r="A41" s="2"/>
      <x:c r="B41" s="2" t="str">
        <x:v>Forrás: Kerti Éden, 2026-os komplett fűmagvetés 1600–2300 Ft/m². A tényleges gyepterület mérendő.</x:v>
      </x:c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3" customHeight="1">
      <x:c r="A42" s="2"/>
      <x:c r="B42" s="2" t="str">
        <x:v>https://kertieden.hu/kertepites-kertfenntartas-arak</x:v>
      </x:c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355D49"/>
  </x:sheetPr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3" hidden="0" customWidth="1"/>
    <x:col min="2" max="2" width="9" hidden="0" customWidth="1"/>
    <x:col min="3" max="3" width="57" hidden="0" customWidth="1"/>
    <x:col min="4" max="4" width="38" hidden="0" customWidth="1"/>
    <x:col min="5" max="5" width="16" hidden="0" customWidth="1"/>
    <x:col min="6" max="6" width="28" hidden="0" customWidth="1"/>
    <x:col min="7" max="7" width="14" hidden="0" customWidth="1"/>
    <x:col min="8" max="8" width="15" hidden="0" customWidth="1"/>
    <x:col min="9" max="9" width="42" hidden="0" customWidth="1"/>
    <x:col min="10" max="10" width="74" hidden="0" customWidth="1"/>
    <x:col min="11" max="11" width="3" hidden="0" customWidth="1"/>
    <x:col min="12" max="12" width="95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2" customHeight="1">
      <x:c r="A2" s="2"/>
      <x:c r="B2" s="3" t="str">
        <x:v>Növényárak és beszerzési források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/>
      <x:c r="B3" s="2" t="str">
        <x:v>Árlekérdezés: 2026. szeptember 26. A kiszerelés és a készlet a tervezési ár része.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 t="str">
        <x:v>Az egységár kék cellái módosíthatók. Az áfa igazoltságát és a készletet külön rögzítettük.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3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35" customHeight="1">
      <x:c r="A6" s="2"/>
      <x:c r="B6" s="8" t="str">
        <x:v>Kód</x:v>
      </x:c>
      <x:c r="C6" s="8" t="str">
        <x:v>Növény</x:v>
      </x:c>
      <x:c r="D6" s="8" t="str">
        <x:v>Induló kiszerelés</x:v>
      </x:c>
      <x:c r="E6" s="8" t="str">
        <x:v>Egységár Ft</x:v>
      </x:c>
      <x:c r="F6" s="8" t="str">
        <x:v>Beszállító</x:v>
      </x:c>
      <x:c r="G6" s="8" t="str">
        <x:v>Áfa igazolt</x:v>
      </x:c>
      <x:c r="H6" s="8" t="str">
        <x:v>Ár dátuma</x:v>
      </x:c>
      <x:c r="I6" s="8" t="str">
        <x:v>Készlet / elérhetőség</x:v>
      </x:c>
      <x:c r="J6" s="8" t="str">
        <x:v>Beszerzési megjegyzés</x:v>
      </x:c>
      <x:c r="K6" s="2"/>
      <x:c r="L6" s="13" t="str">
        <x:v>Forrás URL</x:v>
      </x:c>
      <x:c r="M6" s="2"/>
      <x:c r="N6" s="2"/>
      <x:c r="O6" s="2"/>
      <x:c r="P6" s="2"/>
      <x:c r="Q6" s="2"/>
    </x:row>
    <x:row r="7" ht="64" customHeight="1">
      <x:c r="A7" s="2"/>
      <x:c r="B7" s="2" t="str">
        <x:v>P01</x:v>
      </x:c>
      <x:c r="C7" s="2" t="str">
        <x:v>Tövismentes aranylepényfa · Gleditsia Sunburst</x:v>
      </x:c>
      <x:c r="D7" s="37" t="str">
        <x:v>C90; SF; 14/16 törzsméret</x:v>
      </x:c>
      <x:c r="E7" s="23" t="n">
        <x:v>38000</x:v>
      </x:c>
      <x:c r="F7" s="37" t="str">
        <x:v>Tahi Faiskola</x:v>
      </x:c>
      <x:c r="G7" s="37" t="str">
        <x:v>Igen</x:v>
      </x:c>
      <x:c r="H7" s="38" t="n">
        <x:v>46291</x:v>
      </x:c>
      <x:c r="I7" s="37" t="str">
        <x:v>Katalógusár; konkrét készlet egyeztetendő</x:v>
      </x:c>
      <x:c r="J7" s="37" t="str">
        <x:v>Az ár C90, 14/16 méretre vonatkozik. A 3–5 éves látványkorona nem az átadott fa koronamérete. A katalógus további lépcsője C160 20/25: 87 000 Ft. SF és törzsméret pontos értelmezése az ajánlatban rögzítendő. A Tahi eladási feltétele szerint telephelyi ár, gépi rakodás 500 Ft/db külön, személyes egyedi kiválasztás 20% felár; az utóbbi nem automatikusan felmerülő tétel.</x:v>
      </x:c>
      <x:c r="K7" s="2"/>
      <x:c r="L7" s="37" t="str">
        <x:v>https://www.tahi.hu/novenykatalogus?id=120&amp;t=diszfak</x:v>
      </x:c>
      <x:c r="M7" s="2"/>
      <x:c r="N7" s="2"/>
      <x:c r="O7" s="2"/>
      <x:c r="P7" s="2"/>
      <x:c r="Q7" s="2"/>
    </x:row>
    <x:row r="8" ht="64" customHeight="1">
      <x:c r="A8" s="2"/>
      <x:c r="B8" s="2" t="str">
        <x:v>P03</x:v>
      </x:c>
      <x:c r="C8" s="2" t="str">
        <x:v>Húsos som · Cornus mas</x:v>
      </x:c>
      <x:c r="D8" s="37" t="str">
        <x:v>2 literes; 40–60 cm</x:v>
      </x:c>
      <x:c r="E8" s="23" t="n">
        <x:v>6490</x:v>
      </x:c>
      <x:c r="F8" s="37" t="str">
        <x:v>Megyeri Szabolcs Kertészete</x:v>
      </x:c>
      <x:c r="G8" s="37" t="str">
        <x:v>Nem külön igazolt</x:v>
      </x:c>
      <x:c r="H8" s="38" t="n">
        <x:v>46291</x:v>
      </x:c>
      <x:c r="I8" s="37" t="str">
        <x:v>Raktáron</x:v>
      </x:c>
      <x:c r="J8" s="37" t="str">
        <x:v>Cikkszám 102-2809-K2-40/60; alapfaj, nem garantált termésméretű gyümölcsfajta.</x:v>
      </x:c>
      <x:c r="K8" s="2"/>
      <x:c r="L8" s="37" t="str">
        <x:v>https://www.megyeriszabolcskerteszete.hu/diszfak_es_cserjek_551/cserje/eheto_termesu_cserjek/som_felek/cornus_mas_husos_som_kerteszet_budapest_webshop_webaruhaz_cserje_ultetes_gondozas_rendeles_metszes_tippek_tanacsok</x:v>
      </x:c>
      <x:c r="M8" s="2"/>
      <x:c r="N8" s="2"/>
      <x:c r="O8" s="2"/>
      <x:c r="P8" s="2"/>
      <x:c r="Q8" s="2"/>
    </x:row>
    <x:row r="9" ht="64" customHeight="1">
      <x:c r="A9" s="2"/>
      <x:c r="B9" s="2" t="str">
        <x:v>P04</x:v>
      </x:c>
      <x:c r="C9" s="2" t="str">
        <x:v>Bíbor cserszömörce · Cotinus Royal Purple</x:v>
      </x:c>
      <x:c r="D9" s="37" t="str">
        <x:v>2 literes; 20–60 cm</x:v>
      </x:c>
      <x:c r="E9" s="23" t="n">
        <x:v>8990</x:v>
      </x:c>
      <x:c r="F9" s="37" t="str">
        <x:v>Megyeri Szabolcs Kertészete</x:v>
      </x:c>
      <x:c r="G9" s="37" t="str">
        <x:v>Nem külön igazolt</x:v>
      </x:c>
      <x:c r="H9" s="38" t="n">
        <x:v>46291</x:v>
      </x:c>
      <x:c r="I9" s="37" t="str">
        <x:v>Raktáron</x:v>
      </x:c>
      <x:c r="J9" s="37" t="str">
        <x:v>Kiszerelés a leírásban 2 l; a kiválasztott sor cikkszámában K2/5 szerepel, a pontos konténert vissza kell igazoltatni. 60–100 cm változat 9 790 Ft, külön méret.</x:v>
      </x:c>
      <x:c r="K9" s="2"/>
      <x:c r="L9" s="37" t="str">
        <x:v>https://www.megyeriszabolcskerteszete.hu/diszfak_es_cserjek_551/cserje/cotinus_coggygria_royal_purple_voros_cserszomorce</x:v>
      </x:c>
      <x:c r="M9" s="2"/>
      <x:c r="N9" s="2"/>
      <x:c r="O9" s="2"/>
      <x:c r="P9" s="2"/>
      <x:c r="Q9" s="2"/>
    </x:row>
    <x:row r="10" ht="64" customHeight="1">
      <x:c r="A10" s="2"/>
      <x:c r="B10" s="2" t="str">
        <x:v>P05</x:v>
      </x:c>
      <x:c r="C10" s="2" t="str">
        <x:v>Ostorménbangita · Viburnum lantana</x:v>
      </x:c>
      <x:c r="D10" s="37" t="str">
        <x:v>5 literes; 80–100 cm</x:v>
      </x:c>
      <x:c r="E10" s="23" t="n">
        <x:v>6990</x:v>
      </x:c>
      <x:c r="F10" s="37" t="str">
        <x:v>Megyeri Szabolcs Kertészete</x:v>
      </x:c>
      <x:c r="G10" s="37" t="str">
        <x:v>Nem külön igazolt</x:v>
      </x:c>
      <x:c r="H10" s="38" t="n">
        <x:v>46291</x:v>
      </x:c>
      <x:c r="I10" s="37" t="str">
        <x:v>Raktáron</x:v>
      </x:c>
      <x:c r="J10" s="37" t="str">
        <x:v>Gyorsabb induló takaráshoz a nagyobb 80–100 cm-es méret. A kereső olvasata régebbi lehet; beszerzés előtt visszaigazolás.</x:v>
      </x:c>
      <x:c r="K10" s="2"/>
      <x:c r="L10" s="37" t="str">
        <x:v>https://www.megyeriszabolcskerteszete.hu/viburnum_lantana_ostormenfa</x:v>
      </x:c>
      <x:c r="M10" s="2"/>
      <x:c r="N10" s="2"/>
      <x:c r="O10" s="2"/>
      <x:c r="P10" s="2"/>
      <x:c r="Q10" s="2"/>
    </x:row>
    <x:row r="11" ht="64" customHeight="1">
      <x:c r="A11" s="2"/>
      <x:c r="B11" s="2" t="str">
        <x:v>P06</x:v>
      </x:c>
      <x:c r="C11" s="2" t="str">
        <x:v>Ligeti zsálya · Salvia Caradonna</x:v>
      </x:c>
      <x:c r="D11" s="37" t="str">
        <x:v>9×9 cm-es cserép; 10–20 cm</x:v>
      </x:c>
      <x:c r="E11" s="23" t="n">
        <x:v>1790</x:v>
      </x:c>
      <x:c r="F11" s="37" t="str">
        <x:v>Borhy Kertészet</x:v>
      </x:c>
      <x:c r="G11" s="37" t="str">
        <x:v>Nem külön igazolt</x:v>
      </x:c>
      <x:c r="H11" s="38" t="n">
        <x:v>46291</x:v>
      </x:c>
      <x:c r="I11" s="37" t="str">
        <x:v>Személyesen átvehető</x:v>
      </x:c>
      <x:c r="J11" s="37" t="str">
        <x:v>Tömeges ültetéshez kisméretű P9 indulás; készletdarabszám nincs feltüntetve.</x:v>
      </x:c>
      <x:c r="K11" s="2"/>
      <x:c r="L11" s="37" t="str">
        <x:v>https://www.borhykert.hu/zsalya-ligeti-sotetlila-salvia-nemorosa-caradonna-1020cm-k9x9cm</x:v>
      </x:c>
      <x:c r="M11" s="2"/>
      <x:c r="N11" s="2"/>
      <x:c r="O11" s="2"/>
      <x:c r="P11" s="2"/>
      <x:c r="Q11" s="2"/>
    </x:row>
    <x:row r="12" ht="64" customHeight="1">
      <x:c r="A12" s="2"/>
      <x:c r="B12" s="2" t="str">
        <x:v>P07</x:v>
      </x:c>
      <x:c r="C12" s="2" t="str">
        <x:v>Kerti macskamenta · Nepeta Walkers Low</x:v>
      </x:c>
      <x:c r="D12" s="37" t="str">
        <x:v>13 cm átmérőjű cserép</x:v>
      </x:c>
      <x:c r="E12" s="23" t="n">
        <x:v>2980</x:v>
      </x:c>
      <x:c r="F12" s="37" t="str">
        <x:v>Innoflora</x:v>
      </x:c>
      <x:c r="G12" s="37" t="str">
        <x:v>Nem külön igazolt</x:v>
      </x:c>
      <x:c r="H12" s="38" t="n">
        <x:v>46291</x:v>
      </x:c>
      <x:c r="I12" s="37" t="str">
        <x:v>Raktáron</x:v>
      </x:c>
      <x:c r="J12" s="37" t="str">
        <x:v>A költségterv ebben a nagyobb méretben számol, nem a máshol elfogyott P9 árával.</x:v>
      </x:c>
      <x:c r="K12" s="2"/>
      <x:c r="L12" s="37" t="str">
        <x:v>https://www.innoflora.hu/nepeta--walker-s-low--kerti-macskamenta</x:v>
      </x:c>
      <x:c r="M12" s="2"/>
      <x:c r="N12" s="2"/>
      <x:c r="O12" s="2"/>
      <x:c r="P12" s="2"/>
      <x:c r="Q12" s="2"/>
    </x:row>
    <x:row r="13" ht="64" customHeight="1">
      <x:c r="A13" s="2"/>
      <x:c r="B13" s="2" t="str">
        <x:v>P08</x:v>
      </x:c>
      <x:c r="C13" s="2" t="str">
        <x:v>Cickafark · Achillea Moonshine</x:v>
      </x:c>
      <x:c r="D13" s="37" t="str">
        <x:v>14 cm-es cserép</x:v>
      </x:c>
      <x:c r="E13" s="23" t="n">
        <x:v>2500</x:v>
      </x:c>
      <x:c r="F13" s="37" t="str">
        <x:v>Folly Arborétum</x:v>
      </x:c>
      <x:c r="G13" s="37" t="str">
        <x:v>Igen</x:v>
      </x:c>
      <x:c r="H13" s="38" t="n">
        <x:v>46291</x:v>
      </x:c>
      <x:c r="I13" s="37" t="str">
        <x:v>Elfogyott – árreferencia</x:v>
      </x:c>
      <x:c r="J13" s="37" t="str">
        <x:v>Új készlet vagy azonos fajta/méretű ajánlat szükséges. Nem rendelhető készletként szerepel a tervben.</x:v>
      </x:c>
      <x:c r="K13" s="2"/>
      <x:c r="L13" s="37" t="str">
        <x:v>https://www.folly.hu/achillea-clypeolata-hibrid-moonshine-cickafark-1070</x:v>
      </x:c>
      <x:c r="M13" s="2"/>
      <x:c r="N13" s="2"/>
      <x:c r="O13" s="2"/>
      <x:c r="P13" s="2"/>
      <x:c r="Q13" s="2"/>
    </x:row>
    <x:row r="14" ht="64" customHeight="1">
      <x:c r="A14" s="2"/>
      <x:c r="B14" s="2" t="str">
        <x:v>P09</x:v>
      </x:c>
      <x:c r="C14" s="2" t="str">
        <x:v>Bíbor kasvirág · Echinacea Magnus</x:v>
      </x:c>
      <x:c r="D14" s="37" t="str">
        <x:v>9×9 cm-es cserép</x:v>
      </x:c>
      <x:c r="E14" s="23" t="n">
        <x:v>1490</x:v>
      </x:c>
      <x:c r="F14" s="37" t="str">
        <x:v>Megyeri Szabolcs Kertészete</x:v>
      </x:c>
      <x:c r="G14" s="37" t="str">
        <x:v>Nem külön igazolt</x:v>
      </x:c>
      <x:c r="H14" s="38" t="n">
        <x:v>46291</x:v>
      </x:c>
      <x:c r="I14" s="37" t="str">
        <x:v>Raktáron</x:v>
      </x:c>
      <x:c r="J14" s="37" t="str">
        <x:v>A 14–15 cm-es 3 390 Ft változat elfogyott; a számítás a P9 induló növényt használja.</x:v>
      </x:c>
      <x:c r="K14" s="2"/>
      <x:c r="L14" s="37" t="str">
        <x:v>https://www.megyeriszabolcskerteszete.hu/echinacea_purpurea_magnus_bibor_kasvirag</x:v>
      </x:c>
      <x:c r="M14" s="2"/>
      <x:c r="N14" s="2"/>
      <x:c r="O14" s="2"/>
      <x:c r="P14" s="2"/>
      <x:c r="Q14" s="2"/>
    </x:row>
    <x:row r="15" ht="64" customHeight="1">
      <x:c r="A15" s="2"/>
      <x:c r="B15" s="2" t="str">
        <x:v>P10</x:v>
      </x:c>
      <x:c r="C15" s="2" t="str">
        <x:v>Vesszős köles · Panicum Northwind</x:v>
      </x:c>
      <x:c r="D15" s="37" t="str">
        <x:v>11 cm-es cserép</x:v>
      </x:c>
      <x:c r="E15" s="23" t="n">
        <x:v>1890</x:v>
      </x:c>
      <x:c r="F15" s="37" t="str">
        <x:v>Art &amp; Garden</x:v>
      </x:c>
      <x:c r="G15" s="37" t="str">
        <x:v>Igen</x:v>
      </x:c>
      <x:c r="H15" s="38" t="n">
        <x:v>46291</x:v>
      </x:c>
      <x:c r="I15" s="37" t="str">
        <x:v>10 db raktáron</x:v>
      </x:c>
      <x:c r="J15" s="37" t="str">
        <x:v>A terv mennyisége meghaladhatja a kijelzett készletet; egész tételes ajánlat kell. Nagyobb CS14 alternatíva Énkertem 4 170 Ft (külső készlet), nem azonos méretű összehasonlítás.</x:v>
      </x:c>
      <x:c r="K15" s="2"/>
      <x:c r="L15" s="37" t="str">
        <x:v>https://www.pitypangweb.hu/panicum-virgatum-northwind-vesszos-koles</x:v>
      </x:c>
      <x:c r="M15" s="2"/>
      <x:c r="N15" s="2"/>
      <x:c r="O15" s="2"/>
      <x:c r="P15" s="2"/>
      <x:c r="Q15" s="2"/>
    </x:row>
    <x:row r="16" ht="64" customHeight="1">
      <x:c r="A16" s="2"/>
      <x:c r="B16" s="2" t="str">
        <x:v>P11</x:v>
      </x:c>
      <x:c r="C16" s="2" t="str">
        <x:v>Illatos gólyaorr · Geranium macrorrhizum Album</x:v>
      </x:c>
      <x:c r="D16" s="37" t="str">
        <x:v>Konténer; liter/átmérő nincs feltüntetve</x:v>
      </x:c>
      <x:c r="E16" s="23" t="n">
        <x:v>1790</x:v>
      </x:c>
      <x:c r="F16" s="37" t="str">
        <x:v>Kolibri Kertészet</x:v>
      </x:c>
      <x:c r="G16" s="37" t="str">
        <x:v>Igen</x:v>
      </x:c>
      <x:c r="H16" s="38" t="n">
        <x:v>46291</x:v>
      </x:c>
      <x:c r="I16" s="37" t="str">
        <x:v>Raktáron</x:v>
      </x:c>
      <x:c r="J16" s="37" t="str">
        <x:v>Fehér Album fajta. Beszerzés előtt minimum P9 gyökérlabda és fajta visszaigazolása szükséges; nem feltételezzük a méretet.</x:v>
      </x:c>
      <x:c r="K16" s="2"/>
      <x:c r="L16" s="37" t="str">
        <x:v>https://www.kolibrikerteszet.hu/illatos_golyaorr_geranium_macrorrhizum_album</x:v>
      </x:c>
      <x:c r="M16" s="2"/>
      <x:c r="N16" s="2"/>
      <x:c r="O16" s="2"/>
      <x:c r="P16" s="2"/>
      <x:c r="Q16" s="2"/>
    </x:row>
    <x:row r="17" ht="64" customHeight="1">
      <x:c r="A17" s="2"/>
      <x:c r="B17" s="2" t="str">
        <x:v>P12</x:v>
      </x:c>
      <x:c r="C17" s="2" t="str">
        <x:v>Őszi nyúlfarkfű · Sesleria autumnalis</x:v>
      </x:c>
      <x:c r="D17" s="37" t="str">
        <x:v>9×9 cm-es cserép</x:v>
      </x:c>
      <x:c r="E17" s="23" t="n">
        <x:v>990</x:v>
      </x:c>
      <x:c r="F17" s="37" t="str">
        <x:v>Virágoskertem</x:v>
      </x:c>
      <x:c r="G17" s="37" t="str">
        <x:v>Nem külön igazolt</x:v>
      </x:c>
      <x:c r="H17" s="38" t="n">
        <x:v>46291</x:v>
      </x:c>
      <x:c r="I17" s="37" t="str">
        <x:v>5 db raktáron; szeptember 21. után október eleji szállítás</x:v>
      </x:c>
      <x:c r="J17" s="37" t="str">
        <x:v>Kis készlet, nagy mennyiségre új ajánlat szükséges. A díszfű pontos fajazonosságát érdemes ellenőrizni: a termékoldal virágzási ideje nem egyezik az őszi nyúlfarkfű tipikus idejével.</x:v>
      </x:c>
      <x:c r="K17" s="2"/>
      <x:c r="L17" s="37" t="str">
        <x:v>https://viragoskertem.hu/Nyulfarkfu-Sesleria-autumnalis</x:v>
      </x:c>
      <x:c r="M17" s="2"/>
      <x:c r="N17" s="2"/>
      <x:c r="O17" s="2"/>
      <x:c r="P17" s="2"/>
      <x:c r="Q17" s="2"/>
    </x:row>
    <x:row r="18" ht="64" customHeight="1">
      <x:c r="A18" s="2"/>
      <x:c r="B18" s="2" t="str">
        <x:v>P13</x:v>
      </x:c>
      <x:c r="C18" s="2" t="str">
        <x:v>Pompás varjúháj · Sedum Herbstfreude</x:v>
      </x:c>
      <x:c r="D18" s="37" t="str">
        <x:v>9×9 cm-es cserép</x:v>
      </x:c>
      <x:c r="E18" s="23" t="n">
        <x:v>1990</x:v>
      </x:c>
      <x:c r="F18" s="37" t="str">
        <x:v>Megyeri Szabolcs Kertészete</x:v>
      </x:c>
      <x:c r="G18" s="37" t="str">
        <x:v>Nem külön igazolt</x:v>
      </x:c>
      <x:c r="H18" s="38" t="n">
        <x:v>46291</x:v>
      </x:c>
      <x:c r="I18" s="37" t="str">
        <x:v>Elfogyott – árreferencia</x:v>
      </x:c>
      <x:c r="J18" s="37" t="str">
        <x:v>Azonos fajtára Gardenor 1 490 Ft és 12 db készlet is szerepel, de a kiszerelés ott nem rögzített; ezért nem azzal számoltunk.</x:v>
      </x:c>
      <x:c r="K18" s="2"/>
      <x:c r="L18" s="37" t="str">
        <x:v>https://www.megyeriszabolcskerteszete.hu/sedum_herbstfreude_bordo_varjuhaj</x:v>
      </x:c>
      <x:c r="M18" s="2"/>
      <x:c r="N18" s="2"/>
      <x:c r="O18" s="2"/>
      <x:c r="P18" s="2"/>
      <x:c r="Q18" s="2"/>
    </x:row>
    <x:row r="19" ht="64" customHeight="1">
      <x:c r="A19" s="2"/>
      <x:c r="B19" s="2" t="str">
        <x:v>P14</x:v>
      </x:c>
      <x:c r="C19" s="2" t="str">
        <x:v>Sudárzsálya · Perovskia Blue Spire</x:v>
      </x:c>
      <x:c r="D19" s="37" t="str">
        <x:v>K2; 40+ cm</x:v>
      </x:c>
      <x:c r="E19" s="23" t="n">
        <x:v>2050</x:v>
      </x:c>
      <x:c r="F19" s="37" t="str">
        <x:v>Specialmix</x:v>
      </x:c>
      <x:c r="G19" s="37" t="str">
        <x:v>Igen</x:v>
      </x:c>
      <x:c r="H19" s="38" t="n">
        <x:v>46291</x:v>
      </x:c>
      <x:c r="I19" s="37" t="str">
        <x:v>Katalógusár; készletdarabszám nincs</x:v>
      </x:c>
      <x:c r="J19" s="37" t="str">
        <x:v>A táblázat Blue Spire sora 2 050 Ft. A 3 750 Ft a Prime Time / Silvery Blue fajtákra vonatkozik, nem erre.</x:v>
      </x:c>
      <x:c r="K19" s="2"/>
      <x:c r="L19" s="37" t="str">
        <x:v>https://specialmix.hu/termekek/atriplicifolia_2/</x:v>
      </x:c>
      <x:c r="M19" s="2"/>
      <x:c r="N19" s="2"/>
      <x:c r="O19" s="2"/>
      <x:c r="P19" s="2"/>
      <x:c r="Q19" s="2"/>
    </x:row>
    <x:row r="20" ht="64" customHeight="1">
      <x:c r="A20" s="2"/>
      <x:c r="B20" s="2" t="str">
        <x:v>P15</x:v>
      </x:c>
      <x:c r="C20" s="2" t="str">
        <x:v>Levendula · Lavandula Hidcote Blue</x:v>
      </x:c>
      <x:c r="D20" s="37" t="str">
        <x:v>9×9 cm-es cserép</x:v>
      </x:c>
      <x:c r="E20" s="23" t="n">
        <x:v>1450</x:v>
      </x:c>
      <x:c r="F20" s="37" t="str">
        <x:v>Folly Arborétum</x:v>
      </x:c>
      <x:c r="G20" s="37" t="str">
        <x:v>Igen</x:v>
      </x:c>
      <x:c r="H20" s="38" t="n">
        <x:v>46291</x:v>
      </x:c>
      <x:c r="I20" s="37" t="str">
        <x:v>Raktáron</x:v>
      </x:c>
      <x:c r="J20" s="37" t="str">
        <x:v>Kis induló növény; 3–5 éves látványhoz növekedési idő kell.</x:v>
      </x:c>
      <x:c r="K20" s="2"/>
      <x:c r="L20" s="37" t="str">
        <x:v>https://www.folly.hu/lavandula-angustifolia-hidcote-blue-kozonseges-levendula-1009</x:v>
      </x:c>
      <x:c r="M20" s="2"/>
      <x:c r="N20" s="2"/>
      <x:c r="O20" s="2"/>
      <x:c r="P20" s="2"/>
      <x:c r="Q20" s="2"/>
    </x:row>
    <x:row r="21" ht="64" customHeight="1">
      <x:c r="A21" s="2"/>
      <x:c r="B21" s="2" t="str">
        <x:v>P16</x:v>
      </x:c>
      <x:c r="C21" s="2" t="str">
        <x:v>Kerti kakukkfű · Thymus vulgaris</x:v>
      </x:c>
      <x:c r="D21" s="37" t="str">
        <x:v>9×9 cm-es cserép</x:v>
      </x:c>
      <x:c r="E21" s="23" t="n">
        <x:v>1390</x:v>
      </x:c>
      <x:c r="F21" s="37" t="str">
        <x:v>Megyeri Szabolcs Kertészete</x:v>
      </x:c>
      <x:c r="G21" s="37" t="str">
        <x:v>Nem külön igazolt</x:v>
      </x:c>
      <x:c r="H21" s="38" t="n">
        <x:v>46291</x:v>
      </x:c>
      <x:c r="I21" s="37" t="str">
        <x:v>Elfogyott – árreferencia</x:v>
      </x:c>
      <x:c r="J21" s="37" t="str">
        <x:v>Készlet vagy azonos faj/fajta beszerzése külön ellenőrizendő.</x:v>
      </x:c>
      <x:c r="K21" s="2"/>
      <x:c r="L21" s="37" t="str">
        <x:v>https://www.megyeriszabolcskerteszete.hu/thymus_vulgaris_-_kakukkfu_77611</x:v>
      </x:c>
      <x:c r="M21" s="2"/>
      <x:c r="N21" s="2"/>
      <x:c r="O21" s="2"/>
      <x:c r="P21" s="2"/>
      <x:c r="Q21" s="2"/>
    </x:row>
    <x:row r="22" ht="64" customHeight="1">
      <x:c r="A22" s="2"/>
      <x:c r="B22" s="2" t="str">
        <x:v>P17</x:v>
      </x:c>
      <x:c r="C22" s="2" t="str">
        <x:v>Szurokfű / oregánó · Origanum vulgare</x:v>
      </x:c>
      <x:c r="D22" s="37" t="str">
        <x:v>9 cm-es kockacserép</x:v>
      </x:c>
      <x:c r="E22" s="23" t="n">
        <x:v>1190</x:v>
      </x:c>
      <x:c r="F22" s="37" t="str">
        <x:v>Art &amp; Garden</x:v>
      </x:c>
      <x:c r="G22" s="37" t="str">
        <x:v>Igen</x:v>
      </x:c>
      <x:c r="H22" s="38" t="n">
        <x:v>46291</x:v>
      </x:c>
      <x:c r="I22" s="37" t="str">
        <x:v>12 db raktáron</x:v>
      </x:c>
      <x:c r="J22" s="37" t="str">
        <x:v>A növénylistához képest nagyobb igény esetén új készletajánlat szükséges.</x:v>
      </x:c>
      <x:c r="K22" s="2"/>
      <x:c r="L22" s="37" t="str">
        <x:v>https://www.pitypangweb.hu/origanum-vulgare-oregano-3259</x:v>
      </x:c>
      <x:c r="M22" s="2"/>
      <x:c r="N22" s="2"/>
      <x:c r="O22" s="2"/>
      <x:c r="P22" s="2"/>
      <x:c r="Q22" s="2"/>
    </x:row>
    <x:row r="23" ht="64" customHeight="1">
      <x:c r="A23" s="2"/>
      <x:c r="B23" s="2" t="str">
        <x:v>P18</x:v>
      </x:c>
      <x:c r="C23" s="2" t="str">
        <x:v>Rezisztens csemegeszőlő · Vitis Palatina</x:v>
      </x:c>
      <x:c r="D23" s="37" t="str">
        <x:v>Konténeres oltvány; liter/átmérő nincs feltüntetve</x:v>
      </x:c>
      <x:c r="E23" s="23" t="n">
        <x:v>4900</x:v>
      </x:c>
      <x:c r="F23" s="37" t="str">
        <x:v>Tájkertész</x:v>
      </x:c>
      <x:c r="G23" s="37" t="str">
        <x:v>Nem külön igazolt</x:v>
      </x:c>
      <x:c r="H23" s="38" t="n">
        <x:v>46291</x:v>
      </x:c>
      <x:c r="I23" s="37" t="str">
        <x:v>Készlet előzetes egyeztetéssel</x:v>
      </x:c>
      <x:c r="J23" s="37" t="str">
        <x:v>Az ár konténeres oltványra; támaszrendszer/pergola nélkül. A fajta magot tartalmaz, a bolti címkékben szereplő magnélküli jelzés pontatlan. Kutyák által elérhető területen a terméshez hozzáférés kizárandó.</x:v>
      </x:c>
      <x:c r="K23" s="2"/>
      <x:c r="L23" s="37" t="str">
        <x:v>https://tajkertesz.com/termek/palatina-konteneres-szolooltvany/</x:v>
      </x:c>
      <x:c r="M23" s="2"/>
      <x:c r="N23" s="2"/>
      <x:c r="O23" s="2"/>
      <x:c r="P23" s="2"/>
      <x:c r="Q23" s="2"/>
    </x:row>
    <x:row r="24" ht="23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3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3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3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3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3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</x:sheetData>
  <x:conditionalFormatting sqref="I7:I23">
    <x:cfRule type="containsText" dxfId="0" priority="1" operator="containsText" text="Elfogyott"/>
  </x:conditionalFormatting>
  <x:pageMargins left="0.7" right="0.7" top="0.75" bottom="0.75" header="0.3" footer="0.3"/>
</x:worksheet>
</file>